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activeTab="2"/>
  </bookViews>
  <sheets>
    <sheet name="Sheet2" sheetId="1" r:id="rId1"/>
    <sheet name="Sheet1" sheetId="2" r:id="rId2"/>
    <sheet name="FACE" sheetId="3" r:id="rId3"/>
  </sheets>
  <definedNames/>
  <calcPr fullCalcOnLoad="1"/>
</workbook>
</file>

<file path=xl/comments1.xml><?xml version="1.0" encoding="utf-8"?>
<comments xmlns="http://schemas.openxmlformats.org/spreadsheetml/2006/main">
  <authors>
    <author>HP SONI</author>
  </authors>
  <commentList>
    <comment ref="G8" authorId="0">
      <text>
        <r>
          <rPr>
            <b/>
            <sz val="9"/>
            <rFont val="Tahoma"/>
            <family val="2"/>
          </rPr>
          <t>HP SONI:</t>
        </r>
        <r>
          <rPr>
            <sz val="9"/>
            <rFont val="Tahoma"/>
            <family val="2"/>
          </rPr>
          <t xml:space="preserve">
UP TO 200000/- DEDUCATBLE</t>
        </r>
      </text>
    </comment>
  </commentList>
</comments>
</file>

<file path=xl/comments3.xml><?xml version="1.0" encoding="utf-8"?>
<comments xmlns="http://schemas.openxmlformats.org/spreadsheetml/2006/main">
  <authors>
    <author>HP SONI</author>
  </authors>
  <commentList>
    <comment ref="B18" authorId="0">
      <text>
        <r>
          <rPr>
            <b/>
            <sz val="9"/>
            <rFont val="Tahoma"/>
            <family val="2"/>
          </rPr>
          <t>HP SONI:</t>
        </r>
        <r>
          <rPr>
            <sz val="9"/>
            <rFont val="Tahoma"/>
            <family val="2"/>
          </rPr>
          <t xml:space="preserve">
UP TO 200000</t>
        </r>
      </text>
    </comment>
  </commentList>
</comments>
</file>

<file path=xl/sharedStrings.xml><?xml version="1.0" encoding="utf-8"?>
<sst xmlns="http://schemas.openxmlformats.org/spreadsheetml/2006/main" count="216" uniqueCount="171">
  <si>
    <t>NAME OF EMPLOYEE-</t>
  </si>
  <si>
    <t>PAN NO-</t>
  </si>
  <si>
    <t>S.NO</t>
  </si>
  <si>
    <t>MONTH</t>
  </si>
  <si>
    <t>NET 
AMOUNT</t>
  </si>
  <si>
    <t>BILL NO
DATED</t>
  </si>
  <si>
    <t>fo'ks"k
fooj.k</t>
  </si>
  <si>
    <t>SALARY</t>
  </si>
  <si>
    <t>DA</t>
  </si>
  <si>
    <t>HR</t>
  </si>
  <si>
    <t>BONUS</t>
  </si>
  <si>
    <t>OTHER</t>
  </si>
  <si>
    <t>TOTAL</t>
  </si>
  <si>
    <t>SI</t>
  </si>
  <si>
    <t>LIC</t>
  </si>
  <si>
    <t>RPMF</t>
  </si>
  <si>
    <t>HOUSE
LOAN</t>
  </si>
  <si>
    <t>GROUP
INS.</t>
  </si>
  <si>
    <t>INCOME
TAX</t>
  </si>
  <si>
    <t>SURRENDER LEAVE</t>
  </si>
  <si>
    <t>PART "A"</t>
  </si>
  <si>
    <t>AMOUNT</t>
  </si>
  <si>
    <t>PART "B"</t>
  </si>
  <si>
    <t>SALARY AND SPECIAL SALARY</t>
  </si>
  <si>
    <t>DEDUCTIONS UDNER SECTION 80C/80CCC/80CCD-</t>
  </si>
  <si>
    <t>STATE INSURANCE</t>
  </si>
  <si>
    <t>PPF</t>
  </si>
  <si>
    <t>HOUSE LOAN INSTALLMENT</t>
  </si>
  <si>
    <t>NSC</t>
  </si>
  <si>
    <t>PENSION PLAN</t>
  </si>
  <si>
    <t>HOUSE RENT TAXABLE</t>
  </si>
  <si>
    <t>LIC (SS)</t>
  </si>
  <si>
    <t>ULIP</t>
  </si>
  <si>
    <t>TOTAL INCOME</t>
  </si>
  <si>
    <t>LIC PRIVATE</t>
  </si>
  <si>
    <t>GROUP INSURANCE</t>
  </si>
  <si>
    <t>OTHER INCOME</t>
  </si>
  <si>
    <t>(TOTAL INCOME TAKEN TO PAGE ONE )</t>
  </si>
  <si>
    <t>TUTION FEES</t>
  </si>
  <si>
    <t>TOTAL DEDUCTIONS</t>
  </si>
  <si>
    <t>1.NAME OF EMPLOYEE-</t>
  </si>
  <si>
    <t>PAN NO</t>
  </si>
  <si>
    <t>2.TOTAL INCOME (AS PER PREVIOUS PAGE)</t>
  </si>
  <si>
    <t>4.TOTAL INCOME (2+3)</t>
  </si>
  <si>
    <t>5. INCOME FROM HOUSE PROPERTY</t>
  </si>
  <si>
    <t>LESS-</t>
  </si>
  <si>
    <t>30% OF RENT RECD.</t>
  </si>
  <si>
    <t>INTEREST ON LOAN</t>
  </si>
  <si>
    <t>6.TOTAL INCOME (4+5)</t>
  </si>
  <si>
    <t>7 OTHER INCOME (PLEASE SPECIFY )</t>
  </si>
  <si>
    <t>8.GROSS INCOME (6+7)</t>
  </si>
  <si>
    <t>9.LESS- DEDUCTION UDER SECTION 80C/80CCD/80CCC/80CCE</t>
  </si>
  <si>
    <t>10.TOTAL INCOME</t>
  </si>
  <si>
    <t>DEDUCTION UNDER SECTION-</t>
  </si>
  <si>
    <t>GROSS</t>
  </si>
  <si>
    <t>NET</t>
  </si>
  <si>
    <t>80D- MEDICAL INSURANCE PREMIUM</t>
  </si>
  <si>
    <t>80DD- ORTHO. MEDICAL EXPENDITURES</t>
  </si>
  <si>
    <t>80DDB-  MEDICAL EXPENDITURES</t>
  </si>
  <si>
    <t>80 G- DONATIONS</t>
  </si>
  <si>
    <t>80E- INTEREST ON EDUCATION LOAN</t>
  </si>
  <si>
    <t>12.NET TAXABLE INCOME</t>
  </si>
  <si>
    <t>(ROUNDED OFF )</t>
  </si>
  <si>
    <t>13.TAX ON TOTAL INCOME-</t>
  </si>
  <si>
    <t xml:space="preserve">TAX </t>
  </si>
  <si>
    <t>EDUCATION CESS 2%</t>
  </si>
  <si>
    <t>16.NET TAX PAYABLE</t>
  </si>
  <si>
    <t>17. CALCULATION OF TOTAL TAX PAID BY EMPLOYEE-</t>
  </si>
  <si>
    <t>TAX DEDUCTIONS</t>
  </si>
  <si>
    <t>OTHER
CHALLAN</t>
  </si>
  <si>
    <t>TOTAL 
TAX DEDUCTIONS</t>
  </si>
  <si>
    <t>INCOME TAX DUE/ REFUNDABLE(-)</t>
  </si>
  <si>
    <t>CALCULATION OF TAX ON TOTAL INCOME ON RS-</t>
  </si>
  <si>
    <t>INCOME</t>
  </si>
  <si>
    <t>TAX</t>
  </si>
  <si>
    <t>sign drawning officer</t>
  </si>
  <si>
    <t>sign. Employee</t>
  </si>
  <si>
    <t xml:space="preserve">ADD-HOUSE RENT ALLOWANCE </t>
  </si>
  <si>
    <t>si loan</t>
  </si>
  <si>
    <t>other</t>
  </si>
  <si>
    <t>NAME OF EMPLOYEE</t>
  </si>
  <si>
    <t>POST</t>
  </si>
  <si>
    <t>NAME OF OFFICE</t>
  </si>
  <si>
    <t>AMOUNT OF BONUS</t>
  </si>
  <si>
    <t>SURRENDER LEAVE  BASIC</t>
  </si>
  <si>
    <t>SURRENDER LEAVE DA</t>
  </si>
  <si>
    <t xml:space="preserve"> LIC</t>
  </si>
  <si>
    <t>DEDUCTIONS</t>
  </si>
  <si>
    <t>GPF LOAN</t>
  </si>
  <si>
    <t>SI LOAN</t>
  </si>
  <si>
    <t>GPF
LOAN</t>
  </si>
  <si>
    <t>GROUP INSURANCE AMOUNT</t>
  </si>
  <si>
    <t>ASSESSMENT YEAR</t>
  </si>
  <si>
    <t>FINANCIAL YEAR</t>
  </si>
  <si>
    <t>vk;dj fooj.k</t>
  </si>
  <si>
    <t>foRrh; o"kZ</t>
  </si>
  <si>
    <t>x.kuk o"kZ</t>
  </si>
  <si>
    <t>F.Y.-</t>
  </si>
  <si>
    <t>A.Y.-</t>
  </si>
  <si>
    <t>DA ARREAR jan</t>
  </si>
  <si>
    <t>DA ARREAR july</t>
  </si>
  <si>
    <t>2017-18</t>
  </si>
  <si>
    <t>MONTHS</t>
  </si>
  <si>
    <t>INCOME TAX
DEDUCTED</t>
  </si>
  <si>
    <t>DA%
DRAWN</t>
  </si>
  <si>
    <t>DA IN JULY CURRENT FY</t>
  </si>
  <si>
    <t>DA IN JAN PREV. YR</t>
  </si>
  <si>
    <t>DA IN DEC PREV YR.</t>
  </si>
  <si>
    <t xml:space="preserve">ACP ARREAR </t>
  </si>
  <si>
    <t>SALARY DRAWN</t>
  </si>
  <si>
    <t>INTEREST ON HOUSE LOAN</t>
  </si>
  <si>
    <t>OTHER DED.
 DEDUCTIONS</t>
  </si>
  <si>
    <t>UPTO 250000</t>
  </si>
  <si>
    <t>250000 TO 500000</t>
  </si>
  <si>
    <t>500000-1000000</t>
  </si>
  <si>
    <t>ABOVE 1000000</t>
  </si>
  <si>
    <t>DA IN DEC</t>
  </si>
  <si>
    <t>DA IN JAN</t>
  </si>
  <si>
    <t>DA IN JULY</t>
  </si>
  <si>
    <t>TOTAL **A**</t>
  </si>
  <si>
    <t>TOTAL **B**</t>
  </si>
  <si>
    <t>GRAND TOTAL</t>
  </si>
  <si>
    <t>80GGA</t>
  </si>
  <si>
    <t>1- ACTUCAL ALLOWANCE RECEIVED</t>
  </si>
  <si>
    <t>2- ACTUAL RENT PAID</t>
  </si>
  <si>
    <t>3- EXCESS OF 10% OF SALARY</t>
  </si>
  <si>
    <r>
      <rPr>
        <b/>
        <u val="single"/>
        <sz val="8"/>
        <color indexed="8"/>
        <rFont val="Calibri"/>
        <family val="2"/>
      </rPr>
      <t>ADMISSIBLE</t>
    </r>
    <r>
      <rPr>
        <u val="single"/>
        <sz val="8"/>
        <color indexed="8"/>
        <rFont val="Calibri"/>
        <family val="2"/>
      </rPr>
      <t xml:space="preserve"> (WHICH EVER IS LESS)</t>
    </r>
  </si>
  <si>
    <t>15 DEDUCTION UDER SECTION 87(A)</t>
  </si>
  <si>
    <t>2018-19</t>
  </si>
  <si>
    <t>2019-20</t>
  </si>
  <si>
    <t>2020-21</t>
  </si>
  <si>
    <t>UPTO  NOV. 2017</t>
  </si>
  <si>
    <t>BASIC</t>
  </si>
  <si>
    <t>HRA</t>
  </si>
  <si>
    <t>INCOME TAX</t>
  </si>
  <si>
    <t>ARRREARS DRAWN</t>
  </si>
  <si>
    <t>ACP ARREAR</t>
  </si>
  <si>
    <t>DA IN INCREASED IN JAN 2017</t>
  </si>
  <si>
    <t>DA INCREASED IN JULY 2017</t>
  </si>
  <si>
    <t>NET PAYABLE</t>
  </si>
  <si>
    <t>80TTA INTEREST ON SAVING BANK ACCOUNT</t>
  </si>
  <si>
    <t>2021-22</t>
  </si>
  <si>
    <t>2022-23</t>
  </si>
  <si>
    <t>2023-24</t>
  </si>
  <si>
    <t>2024-25</t>
  </si>
  <si>
    <t>TOTAL DEDUCTION UNDER SECTION 80C</t>
  </si>
  <si>
    <t>TOTAL TAX ON INCOME</t>
  </si>
  <si>
    <t>NET TAXABLE INCOME</t>
  </si>
  <si>
    <t>LIC SS</t>
  </si>
  <si>
    <t>INVESTMENTS IN YEAR UNDER SEC 80C</t>
  </si>
  <si>
    <t>7TH PAY COMMISSION first installment</t>
  </si>
  <si>
    <t>7TH PAY COMMISSION Second installment</t>
  </si>
  <si>
    <t>7TH PAY COMMISSION Third installment</t>
  </si>
  <si>
    <t>7th pay arrear</t>
  </si>
  <si>
    <t>ACTUAL  HOUSE RENT PAID</t>
  </si>
  <si>
    <t>3. LESS-STANDARD DEDUCTION</t>
  </si>
  <si>
    <t>ARREAR TDS</t>
  </si>
  <si>
    <t>BASIC PAY IN MARCH 2018</t>
  </si>
  <si>
    <t>BASIC PAY IN JULY 2018</t>
  </si>
  <si>
    <r>
      <t xml:space="preserve"> PLEASE SEND YOUR FEEDBACK TO </t>
    </r>
    <r>
      <rPr>
        <b/>
        <sz val="16"/>
        <color indexed="8"/>
        <rFont val="Calibri"/>
        <family val="2"/>
      </rPr>
      <t>rajteachers.in@gmail.com</t>
    </r>
  </si>
  <si>
    <r>
      <t xml:space="preserve">vk;dj ns;rk dk vuqeku yxkus ds fy;s lHkh ihys lsy dks iwjk djsaA </t>
    </r>
    <r>
      <rPr>
        <b/>
        <sz val="16"/>
        <color indexed="8"/>
        <rFont val="Cambria"/>
        <family val="1"/>
      </rPr>
      <t>please send your feed back to rajteachers.in@gmail.com</t>
    </r>
  </si>
  <si>
    <t>SECONDARY EDUCATION CESS 2%</t>
  </si>
  <si>
    <t>NET TAX DUE AFTER tax DEDUCTION</t>
  </si>
  <si>
    <t>NPS</t>
  </si>
  <si>
    <t>DA ARREAR RECEIVED FOR JAN 18</t>
  </si>
  <si>
    <t>DA ARREAR RECEIVED FOR JUL 2018</t>
  </si>
  <si>
    <t>Teacher Level-ll</t>
  </si>
  <si>
    <t>80U PHYSICALLY HADICAPPED PERSON UPTO 75000/-</t>
  </si>
  <si>
    <t>HRA %</t>
  </si>
  <si>
    <t>APPLICABLE FOR NPS EMPLOYEES ONLY</t>
  </si>
  <si>
    <t>Manohar Nain</t>
  </si>
</sst>
</file>

<file path=xl/styles.xml><?xml version="1.0" encoding="utf-8"?>
<styleSheet xmlns="http://schemas.openxmlformats.org/spreadsheetml/2006/main">
  <numFmts count="3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B1mmm/yy"/>
    <numFmt numFmtId="181" formatCode="B1m/d/yyyy"/>
    <numFmt numFmtId="182" formatCode="mmm\-yyyy"/>
    <numFmt numFmtId="183" formatCode="[$-409]dddd\,\ mmmm\ dd\,\ yyyy"/>
    <numFmt numFmtId="184" formatCode="[$-409]h:mm:ss\ AM/PM"/>
    <numFmt numFmtId="185" formatCode="B1dd/mm/yyyy"/>
    <numFmt numFmtId="186" formatCode="[$-409]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E+00"/>
    <numFmt numFmtId="194" formatCode="0E+0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color indexed="8"/>
      <name val="Calibri"/>
      <family val="2"/>
    </font>
    <font>
      <u val="single"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9"/>
      <name val="Kruti Dev 010"/>
      <family val="0"/>
    </font>
    <font>
      <sz val="8"/>
      <color indexed="9"/>
      <name val="Calibri"/>
      <family val="2"/>
    </font>
    <font>
      <sz val="8"/>
      <color indexed="9"/>
      <name val="Kruti Dev 010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mbria"/>
      <family val="1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20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10"/>
      <name val="Calibri"/>
      <family val="2"/>
    </font>
    <font>
      <b/>
      <sz val="8"/>
      <color indexed="9"/>
      <name val="Calibri"/>
      <family val="2"/>
    </font>
    <font>
      <sz val="16"/>
      <color indexed="8"/>
      <name val="Kruti Dev 010"/>
      <family val="0"/>
    </font>
    <font>
      <b/>
      <sz val="16"/>
      <color indexed="8"/>
      <name val="Kruti Dev 010"/>
      <family val="0"/>
    </font>
    <font>
      <sz val="11"/>
      <color indexed="8"/>
      <name val="Arial"/>
      <family val="2"/>
    </font>
    <font>
      <b/>
      <sz val="8"/>
      <name val="Calibri"/>
      <family val="2"/>
    </font>
    <font>
      <u val="single"/>
      <sz val="8"/>
      <color indexed="12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8"/>
      <name val="Calibri"/>
      <family val="2"/>
    </font>
    <font>
      <sz val="8"/>
      <color indexed="9"/>
      <name val="Cambria"/>
      <family val="1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0"/>
      <name val="Kruti Dev 010"/>
      <family val="0"/>
    </font>
    <font>
      <sz val="8"/>
      <color theme="0"/>
      <name val="Calibri"/>
      <family val="2"/>
    </font>
    <font>
      <sz val="8"/>
      <color theme="0"/>
      <name val="Kruti Dev 010"/>
      <family val="0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mbria"/>
      <family val="1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20"/>
      <color theme="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sz val="16"/>
      <color theme="1"/>
      <name val="Kruti Dev 010"/>
      <family val="0"/>
    </font>
    <font>
      <b/>
      <sz val="16"/>
      <color theme="1"/>
      <name val="Kruti Dev 010"/>
      <family val="0"/>
    </font>
    <font>
      <b/>
      <sz val="8"/>
      <color theme="0"/>
      <name val="Calibri"/>
      <family val="2"/>
    </font>
    <font>
      <sz val="9"/>
      <color theme="0"/>
      <name val="Calibri"/>
      <family val="2"/>
    </font>
    <font>
      <sz val="8"/>
      <color theme="0"/>
      <name val="Cambria"/>
      <family val="1"/>
    </font>
    <font>
      <u val="single"/>
      <sz val="8"/>
      <color theme="1"/>
      <name val="Calibri"/>
      <family val="2"/>
    </font>
    <font>
      <u val="single"/>
      <sz val="8"/>
      <color theme="10"/>
      <name val="Calibri"/>
      <family val="2"/>
    </font>
    <font>
      <b/>
      <u val="single"/>
      <sz val="8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73" fillId="0" borderId="1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5" fillId="33" borderId="0" xfId="0" applyFont="1" applyFill="1" applyBorder="1" applyAlignment="1" applyProtection="1">
      <alignment wrapText="1"/>
      <protection hidden="1"/>
    </xf>
    <xf numFmtId="0" fontId="74" fillId="33" borderId="0" xfId="0" applyFont="1" applyFill="1" applyBorder="1" applyAlignment="1" applyProtection="1">
      <alignment wrapText="1"/>
      <protection hidden="1"/>
    </xf>
    <xf numFmtId="0" fontId="75" fillId="34" borderId="11" xfId="0" applyFont="1" applyFill="1" applyBorder="1" applyAlignment="1" applyProtection="1">
      <alignment horizontal="center"/>
      <protection hidden="1"/>
    </xf>
    <xf numFmtId="0" fontId="75" fillId="34" borderId="11" xfId="0" applyFont="1" applyFill="1" applyBorder="1" applyAlignment="1" applyProtection="1">
      <alignment horizontal="center" textRotation="90"/>
      <protection hidden="1"/>
    </xf>
    <xf numFmtId="0" fontId="75" fillId="34" borderId="12" xfId="0" applyFont="1" applyFill="1" applyBorder="1" applyAlignment="1" applyProtection="1">
      <alignment horizontal="center"/>
      <protection hidden="1"/>
    </xf>
    <xf numFmtId="0" fontId="75" fillId="34" borderId="11" xfId="0" applyFont="1" applyFill="1" applyBorder="1" applyAlignment="1" applyProtection="1">
      <alignment horizontal="center" wrapText="1"/>
      <protection hidden="1"/>
    </xf>
    <xf numFmtId="0" fontId="75" fillId="34" borderId="11" xfId="0" applyFont="1" applyFill="1" applyBorder="1" applyAlignment="1" applyProtection="1">
      <alignment horizontal="center" textRotation="90" wrapText="1"/>
      <protection hidden="1"/>
    </xf>
    <xf numFmtId="0" fontId="75" fillId="33" borderId="0" xfId="0" applyFont="1" applyFill="1" applyBorder="1" applyAlignment="1" applyProtection="1">
      <alignment wrapText="1"/>
      <protection hidden="1"/>
    </xf>
    <xf numFmtId="0" fontId="76" fillId="33" borderId="0" xfId="0" applyFont="1" applyFill="1" applyBorder="1" applyAlignment="1" applyProtection="1">
      <alignment wrapText="1"/>
      <protection hidden="1"/>
    </xf>
    <xf numFmtId="0" fontId="77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3" fillId="0" borderId="11" xfId="0" applyFont="1" applyBorder="1" applyAlignment="1" applyProtection="1">
      <alignment horizontal="center"/>
      <protection hidden="1"/>
    </xf>
    <xf numFmtId="180" fontId="73" fillId="0" borderId="11" xfId="0" applyNumberFormat="1" applyFont="1" applyBorder="1" applyAlignment="1" applyProtection="1">
      <alignment horizontal="center"/>
      <protection hidden="1"/>
    </xf>
    <xf numFmtId="0" fontId="73" fillId="33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73" fillId="0" borderId="11" xfId="0" applyFont="1" applyBorder="1" applyAlignment="1" applyProtection="1">
      <alignment/>
      <protection hidden="1"/>
    </xf>
    <xf numFmtId="0" fontId="77" fillId="33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78" fillId="0" borderId="11" xfId="0" applyFont="1" applyBorder="1" applyAlignment="1" applyProtection="1">
      <alignment vertical="center" textRotation="90"/>
      <protection hidden="1"/>
    </xf>
    <xf numFmtId="0" fontId="78" fillId="0" borderId="0" xfId="0" applyFont="1" applyBorder="1" applyAlignment="1" applyProtection="1">
      <alignment vertical="center"/>
      <protection hidden="1"/>
    </xf>
    <xf numFmtId="0" fontId="76" fillId="33" borderId="0" xfId="0" applyFont="1" applyFill="1" applyBorder="1" applyAlignment="1" applyProtection="1">
      <alignment vertical="center" wrapText="1"/>
      <protection hidden="1"/>
    </xf>
    <xf numFmtId="0" fontId="77" fillId="0" borderId="0" xfId="0" applyFont="1" applyBorder="1" applyAlignment="1" applyProtection="1">
      <alignment vertical="center"/>
      <protection hidden="1"/>
    </xf>
    <xf numFmtId="1" fontId="77" fillId="0" borderId="0" xfId="0" applyNumberFormat="1" applyFont="1" applyAlignment="1" applyProtection="1">
      <alignment/>
      <protection hidden="1"/>
    </xf>
    <xf numFmtId="0" fontId="79" fillId="0" borderId="11" xfId="0" applyFon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80" fillId="34" borderId="11" xfId="0" applyFont="1" applyFill="1" applyBorder="1" applyAlignment="1" applyProtection="1">
      <alignment wrapText="1"/>
      <protection hidden="1"/>
    </xf>
    <xf numFmtId="180" fontId="58" fillId="34" borderId="11" xfId="0" applyNumberFormat="1" applyFont="1" applyFill="1" applyBorder="1" applyAlignment="1" applyProtection="1">
      <alignment/>
      <protection hidden="1"/>
    </xf>
    <xf numFmtId="0" fontId="58" fillId="34" borderId="11" xfId="0" applyFont="1" applyFill="1" applyBorder="1" applyAlignment="1" applyProtection="1">
      <alignment wrapText="1"/>
      <protection hidden="1"/>
    </xf>
    <xf numFmtId="0" fontId="58" fillId="34" borderId="11" xfId="0" applyFont="1" applyFill="1" applyBorder="1" applyAlignment="1" applyProtection="1">
      <alignment horizontal="right"/>
      <protection hidden="1"/>
    </xf>
    <xf numFmtId="9" fontId="0" fillId="0" borderId="11" xfId="0" applyNumberFormat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1" fontId="55" fillId="34" borderId="11" xfId="0" applyNumberFormat="1" applyFont="1" applyFill="1" applyBorder="1" applyAlignment="1" applyProtection="1">
      <alignment/>
      <protection hidden="1"/>
    </xf>
    <xf numFmtId="0" fontId="58" fillId="34" borderId="11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9" fontId="0" fillId="33" borderId="12" xfId="0" applyNumberFormat="1" applyFill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/>
    </xf>
    <xf numFmtId="9" fontId="0" fillId="33" borderId="10" xfId="61" applyFont="1" applyFill="1" applyBorder="1" applyAlignment="1" applyProtection="1">
      <alignment/>
      <protection hidden="1"/>
    </xf>
    <xf numFmtId="9" fontId="0" fillId="33" borderId="16" xfId="61" applyFont="1" applyFill="1" applyBorder="1" applyAlignment="1" applyProtection="1">
      <alignment/>
      <protection hidden="1"/>
    </xf>
    <xf numFmtId="9" fontId="0" fillId="33" borderId="17" xfId="0" applyNumberForma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center"/>
      <protection hidden="1"/>
    </xf>
    <xf numFmtId="0" fontId="81" fillId="0" borderId="18" xfId="0" applyFont="1" applyBorder="1" applyAlignment="1" applyProtection="1">
      <alignment horizontal="right"/>
      <protection hidden="1"/>
    </xf>
    <xf numFmtId="0" fontId="0" fillId="10" borderId="19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10" borderId="20" xfId="0" applyFill="1" applyBorder="1" applyAlignment="1" applyProtection="1">
      <alignment/>
      <protection hidden="1"/>
    </xf>
    <xf numFmtId="0" fontId="0" fillId="35" borderId="21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23" xfId="0" applyFill="1" applyBorder="1" applyAlignment="1" applyProtection="1">
      <alignment horizontal="center"/>
      <protection hidden="1"/>
    </xf>
    <xf numFmtId="9" fontId="0" fillId="35" borderId="12" xfId="61" applyFont="1" applyFill="1" applyBorder="1" applyAlignment="1" applyProtection="1">
      <alignment horizontal="center"/>
      <protection hidden="1"/>
    </xf>
    <xf numFmtId="9" fontId="0" fillId="35" borderId="12" xfId="0" applyNumberFormat="1" applyFill="1" applyBorder="1" applyAlignment="1" applyProtection="1">
      <alignment horizontal="center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 locked="0"/>
    </xf>
    <xf numFmtId="0" fontId="0" fillId="35" borderId="12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 horizontal="center"/>
      <protection hidden="1"/>
    </xf>
    <xf numFmtId="0" fontId="0" fillId="35" borderId="17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9" fontId="0" fillId="5" borderId="15" xfId="0" applyNumberFormat="1" applyFill="1" applyBorder="1" applyAlignment="1" applyProtection="1">
      <alignment horizontal="center"/>
      <protection hidden="1" locked="0"/>
    </xf>
    <xf numFmtId="0" fontId="0" fillId="5" borderId="25" xfId="0" applyFill="1" applyBorder="1" applyAlignment="1" applyProtection="1">
      <alignment horizontal="center"/>
      <protection hidden="1"/>
    </xf>
    <xf numFmtId="0" fontId="71" fillId="35" borderId="26" xfId="0" applyFont="1" applyFill="1" applyBorder="1" applyAlignment="1" applyProtection="1">
      <alignment vertical="center"/>
      <protection hidden="1"/>
    </xf>
    <xf numFmtId="0" fontId="82" fillId="4" borderId="0" xfId="0" applyFont="1" applyFill="1" applyBorder="1" applyAlignment="1" applyProtection="1">
      <alignment vertical="center"/>
      <protection hidden="1"/>
    </xf>
    <xf numFmtId="1" fontId="71" fillId="4" borderId="27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82" fillId="4" borderId="24" xfId="0" applyFont="1" applyFill="1" applyBorder="1" applyAlignment="1" applyProtection="1">
      <alignment vertical="center"/>
      <protection hidden="1"/>
    </xf>
    <xf numFmtId="0" fontId="0" fillId="10" borderId="21" xfId="0" applyFill="1" applyBorder="1" applyAlignment="1" applyProtection="1">
      <alignment/>
      <protection hidden="1"/>
    </xf>
    <xf numFmtId="0" fontId="83" fillId="10" borderId="28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0" xfId="0" applyFill="1" applyBorder="1" applyAlignment="1" applyProtection="1">
      <alignment/>
      <protection hidden="1"/>
    </xf>
    <xf numFmtId="0" fontId="0" fillId="10" borderId="22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24" xfId="0" applyFill="1" applyBorder="1" applyAlignment="1" applyProtection="1">
      <alignment/>
      <protection hidden="1"/>
    </xf>
    <xf numFmtId="0" fontId="0" fillId="35" borderId="29" xfId="0" applyFill="1" applyBorder="1" applyAlignment="1" applyProtection="1">
      <alignment/>
      <protection hidden="1"/>
    </xf>
    <xf numFmtId="0" fontId="0" fillId="37" borderId="29" xfId="0" applyFill="1" applyBorder="1" applyAlignment="1" applyProtection="1">
      <alignment horizontal="center"/>
      <protection hidden="1" locked="0"/>
    </xf>
    <xf numFmtId="0" fontId="77" fillId="4" borderId="20" xfId="0" applyFont="1" applyFill="1" applyBorder="1" applyAlignment="1" applyProtection="1">
      <alignment/>
      <protection hidden="1"/>
    </xf>
    <xf numFmtId="0" fontId="77" fillId="4" borderId="30" xfId="0" applyFont="1" applyFill="1" applyBorder="1" applyAlignment="1" applyProtection="1">
      <alignment/>
      <protection hidden="1"/>
    </xf>
    <xf numFmtId="0" fontId="0" fillId="35" borderId="31" xfId="0" applyFill="1" applyBorder="1" applyAlignment="1" applyProtection="1">
      <alignment/>
      <protection hidden="1"/>
    </xf>
    <xf numFmtId="0" fontId="0" fillId="35" borderId="3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17" fontId="71" fillId="38" borderId="34" xfId="0" applyNumberFormat="1" applyFont="1" applyFill="1" applyBorder="1" applyAlignment="1" applyProtection="1">
      <alignment horizontal="right"/>
      <protection hidden="1" locked="0"/>
    </xf>
    <xf numFmtId="186" fontId="71" fillId="35" borderId="35" xfId="0" applyNumberFormat="1" applyFont="1" applyFill="1" applyBorder="1" applyAlignment="1" applyProtection="1">
      <alignment horizontal="right"/>
      <protection hidden="1"/>
    </xf>
    <xf numFmtId="0" fontId="0" fillId="5" borderId="36" xfId="0" applyFill="1" applyBorder="1" applyAlignment="1" applyProtection="1">
      <alignment horizontal="center"/>
      <protection hidden="1"/>
    </xf>
    <xf numFmtId="0" fontId="39" fillId="5" borderId="37" xfId="0" applyFont="1" applyFill="1" applyBorder="1" applyAlignment="1" applyProtection="1">
      <alignment/>
      <protection hidden="1"/>
    </xf>
    <xf numFmtId="0" fontId="0" fillId="35" borderId="38" xfId="0" applyFill="1" applyBorder="1" applyAlignment="1" applyProtection="1">
      <alignment horizontal="center"/>
      <protection hidden="1"/>
    </xf>
    <xf numFmtId="0" fontId="0" fillId="5" borderId="39" xfId="0" applyFill="1" applyBorder="1" applyAlignment="1" applyProtection="1">
      <alignment horizontal="right"/>
      <protection hidden="1"/>
    </xf>
    <xf numFmtId="0" fontId="77" fillId="5" borderId="23" xfId="0" applyFont="1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9" fontId="0" fillId="5" borderId="23" xfId="0" applyNumberFormat="1" applyFill="1" applyBorder="1" applyAlignment="1" applyProtection="1">
      <alignment horizontal="center"/>
      <protection hidden="1"/>
    </xf>
    <xf numFmtId="0" fontId="0" fillId="5" borderId="31" xfId="0" applyFill="1" applyBorder="1" applyAlignment="1" applyProtection="1">
      <alignment/>
      <protection hidden="1"/>
    </xf>
    <xf numFmtId="0" fontId="39" fillId="5" borderId="40" xfId="0" applyFont="1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 horizontal="center"/>
      <protection hidden="1" locked="0"/>
    </xf>
    <xf numFmtId="0" fontId="77" fillId="37" borderId="11" xfId="0" applyFont="1" applyFill="1" applyBorder="1" applyAlignment="1" applyProtection="1">
      <alignment horizontal="center"/>
      <protection locked="0"/>
    </xf>
    <xf numFmtId="0" fontId="0" fillId="37" borderId="38" xfId="0" applyFill="1" applyBorder="1" applyAlignment="1" applyProtection="1">
      <alignment horizontal="center"/>
      <protection locked="0"/>
    </xf>
    <xf numFmtId="0" fontId="77" fillId="0" borderId="11" xfId="0" applyFont="1" applyBorder="1" applyAlignment="1" applyProtection="1">
      <alignment horizontal="center"/>
      <protection hidden="1"/>
    </xf>
    <xf numFmtId="0" fontId="77" fillId="33" borderId="11" xfId="0" applyFont="1" applyFill="1" applyBorder="1" applyAlignment="1" applyProtection="1">
      <alignment horizontal="center"/>
      <protection hidden="1"/>
    </xf>
    <xf numFmtId="0" fontId="73" fillId="0" borderId="12" xfId="0" applyFont="1" applyBorder="1" applyAlignment="1" applyProtection="1">
      <alignment horizontal="center"/>
      <protection hidden="1"/>
    </xf>
    <xf numFmtId="0" fontId="0" fillId="35" borderId="12" xfId="0" applyFill="1" applyBorder="1" applyAlignment="1" applyProtection="1">
      <alignment horizontal="center"/>
      <protection hidden="1"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18" xfId="0" applyFill="1" applyBorder="1" applyAlignment="1" applyProtection="1">
      <alignment horizontal="center"/>
      <protection locked="0"/>
    </xf>
    <xf numFmtId="0" fontId="84" fillId="4" borderId="40" xfId="0" applyFont="1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horizontal="center"/>
      <protection hidden="1"/>
    </xf>
    <xf numFmtId="9" fontId="0" fillId="33" borderId="15" xfId="61" applyFont="1" applyFill="1" applyBorder="1" applyAlignment="1" applyProtection="1">
      <alignment/>
      <protection hidden="1"/>
    </xf>
    <xf numFmtId="0" fontId="0" fillId="37" borderId="11" xfId="0" applyFill="1" applyBorder="1" applyAlignment="1" applyProtection="1">
      <alignment vertical="center"/>
      <protection locked="0"/>
    </xf>
    <xf numFmtId="9" fontId="0" fillId="37" borderId="11" xfId="0" applyNumberFormat="1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7" borderId="41" xfId="0" applyFill="1" applyBorder="1" applyAlignment="1" applyProtection="1">
      <alignment horizontal="center"/>
      <protection locked="0"/>
    </xf>
    <xf numFmtId="0" fontId="39" fillId="37" borderId="27" xfId="0" applyFont="1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 horizontal="center"/>
      <protection locked="0"/>
    </xf>
    <xf numFmtId="9" fontId="0" fillId="39" borderId="11" xfId="0" applyNumberFormat="1" applyFill="1" applyBorder="1" applyAlignment="1" applyProtection="1">
      <alignment horizontal="center"/>
      <protection locked="0"/>
    </xf>
    <xf numFmtId="9" fontId="0" fillId="35" borderId="11" xfId="0" applyNumberFormat="1" applyFill="1" applyBorder="1" applyAlignment="1" applyProtection="1">
      <alignment horizontal="center"/>
      <protection locked="0"/>
    </xf>
    <xf numFmtId="9" fontId="0" fillId="37" borderId="12" xfId="0" applyNumberFormat="1" applyFill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/>
      <protection locked="0"/>
    </xf>
    <xf numFmtId="0" fontId="0" fillId="37" borderId="40" xfId="0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43" xfId="0" applyFill="1" applyBorder="1" applyAlignment="1" applyProtection="1">
      <alignment horizontal="center"/>
      <protection hidden="1" locked="0"/>
    </xf>
    <xf numFmtId="0" fontId="77" fillId="0" borderId="11" xfId="0" applyFont="1" applyBorder="1" applyAlignment="1" applyProtection="1">
      <alignment horizontal="center"/>
      <protection hidden="1"/>
    </xf>
    <xf numFmtId="0" fontId="85" fillId="35" borderId="27" xfId="0" applyFont="1" applyFill="1" applyBorder="1" applyAlignment="1" applyProtection="1">
      <alignment vertical="center"/>
      <protection hidden="1"/>
    </xf>
    <xf numFmtId="0" fontId="75" fillId="34" borderId="11" xfId="0" applyFont="1" applyFill="1" applyBorder="1" applyAlignment="1" applyProtection="1">
      <alignment horizontal="center" textRotation="90"/>
      <protection hidden="1" locked="0"/>
    </xf>
    <xf numFmtId="0" fontId="0" fillId="38" borderId="11" xfId="0" applyFill="1" applyBorder="1" applyAlignment="1" applyProtection="1">
      <alignment/>
      <protection hidden="1"/>
    </xf>
    <xf numFmtId="9" fontId="0" fillId="37" borderId="11" xfId="0" applyNumberFormat="1" applyFill="1" applyBorder="1" applyAlignment="1" applyProtection="1">
      <alignment horizontal="center"/>
      <protection hidden="1" locked="0"/>
    </xf>
    <xf numFmtId="0" fontId="86" fillId="0" borderId="11" xfId="0" applyFont="1" applyBorder="1" applyAlignment="1" applyProtection="1">
      <alignment horizontal="center" wrapText="1"/>
      <protection hidden="1"/>
    </xf>
    <xf numFmtId="0" fontId="86" fillId="0" borderId="11" xfId="0" applyFont="1" applyFill="1" applyBorder="1" applyAlignment="1" applyProtection="1">
      <alignment horizontal="center" wrapText="1"/>
      <protection hidden="1"/>
    </xf>
    <xf numFmtId="0" fontId="86" fillId="0" borderId="20" xfId="0" applyFont="1" applyBorder="1" applyAlignment="1" applyProtection="1">
      <alignment horizontal="center"/>
      <protection hidden="1"/>
    </xf>
    <xf numFmtId="0" fontId="86" fillId="0" borderId="11" xfId="0" applyFont="1" applyBorder="1" applyAlignment="1" applyProtection="1">
      <alignment horizontal="center"/>
      <protection hidden="1"/>
    </xf>
    <xf numFmtId="0" fontId="86" fillId="33" borderId="11" xfId="0" applyFont="1" applyFill="1" applyBorder="1" applyAlignment="1" applyProtection="1">
      <alignment horizontal="center"/>
      <protection hidden="1"/>
    </xf>
    <xf numFmtId="0" fontId="86" fillId="33" borderId="27" xfId="0" applyFont="1" applyFill="1" applyBorder="1" applyAlignment="1" applyProtection="1">
      <alignment horizontal="center"/>
      <protection hidden="1"/>
    </xf>
    <xf numFmtId="0" fontId="86" fillId="38" borderId="20" xfId="0" applyFont="1" applyFill="1" applyBorder="1" applyAlignment="1" applyProtection="1">
      <alignment horizontal="center" wrapText="1"/>
      <protection hidden="1"/>
    </xf>
    <xf numFmtId="0" fontId="86" fillId="37" borderId="11" xfId="0" applyFont="1" applyFill="1" applyBorder="1" applyAlignment="1" applyProtection="1">
      <alignment horizontal="center"/>
      <protection locked="0"/>
    </xf>
    <xf numFmtId="0" fontId="86" fillId="35" borderId="11" xfId="0" applyFont="1" applyFill="1" applyBorder="1" applyAlignment="1" applyProtection="1">
      <alignment horizontal="center"/>
      <protection hidden="1"/>
    </xf>
    <xf numFmtId="0" fontId="86" fillId="33" borderId="11" xfId="0" applyFont="1" applyFill="1" applyBorder="1" applyAlignment="1" applyProtection="1">
      <alignment horizontal="center"/>
      <protection/>
    </xf>
    <xf numFmtId="0" fontId="86" fillId="38" borderId="30" xfId="0" applyFont="1" applyFill="1" applyBorder="1" applyAlignment="1" applyProtection="1">
      <alignment horizontal="center" wrapText="1"/>
      <protection hidden="1"/>
    </xf>
    <xf numFmtId="0" fontId="86" fillId="37" borderId="23" xfId="0" applyFont="1" applyFill="1" applyBorder="1" applyAlignment="1" applyProtection="1">
      <alignment horizontal="center"/>
      <protection locked="0"/>
    </xf>
    <xf numFmtId="0" fontId="86" fillId="35" borderId="23" xfId="0" applyFont="1" applyFill="1" applyBorder="1" applyAlignment="1" applyProtection="1">
      <alignment horizontal="center"/>
      <protection hidden="1"/>
    </xf>
    <xf numFmtId="0" fontId="86" fillId="33" borderId="23" xfId="0" applyFont="1" applyFill="1" applyBorder="1" applyAlignment="1" applyProtection="1">
      <alignment horizontal="center"/>
      <protection/>
    </xf>
    <xf numFmtId="0" fontId="86" fillId="33" borderId="23" xfId="0" applyFont="1" applyFill="1" applyBorder="1" applyAlignment="1" applyProtection="1">
      <alignment horizontal="center"/>
      <protection hidden="1"/>
    </xf>
    <xf numFmtId="0" fontId="86" fillId="33" borderId="40" xfId="0" applyFont="1" applyFill="1" applyBorder="1" applyAlignment="1" applyProtection="1">
      <alignment horizontal="center"/>
      <protection hidden="1"/>
    </xf>
    <xf numFmtId="0" fontId="73" fillId="35" borderId="11" xfId="0" applyFont="1" applyFill="1" applyBorder="1" applyAlignment="1" applyProtection="1">
      <alignment horizontal="center"/>
      <protection locked="0"/>
    </xf>
    <xf numFmtId="0" fontId="73" fillId="35" borderId="11" xfId="0" applyFont="1" applyFill="1" applyBorder="1" applyAlignment="1" applyProtection="1">
      <alignment horizontal="center"/>
      <protection hidden="1" locked="0"/>
    </xf>
    <xf numFmtId="0" fontId="77" fillId="35" borderId="11" xfId="0" applyFont="1" applyFill="1" applyBorder="1" applyAlignment="1" applyProtection="1">
      <alignment horizontal="center"/>
      <protection locked="0"/>
    </xf>
    <xf numFmtId="0" fontId="77" fillId="35" borderId="11" xfId="0" applyFont="1" applyFill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hidden="1"/>
    </xf>
    <xf numFmtId="0" fontId="71" fillId="0" borderId="11" xfId="0" applyFont="1" applyBorder="1" applyAlignment="1" applyProtection="1">
      <alignment horizontal="left"/>
      <protection hidden="1"/>
    </xf>
    <xf numFmtId="0" fontId="71" fillId="0" borderId="11" xfId="0" applyFont="1" applyBorder="1" applyAlignment="1" applyProtection="1">
      <alignment horizontal="right"/>
      <protection hidden="1"/>
    </xf>
    <xf numFmtId="0" fontId="87" fillId="33" borderId="11" xfId="0" applyFont="1" applyFill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right"/>
      <protection hidden="1"/>
    </xf>
    <xf numFmtId="0" fontId="71" fillId="0" borderId="12" xfId="0" applyFont="1" applyBorder="1" applyAlignment="1" applyProtection="1">
      <alignment horizontal="left"/>
      <protection hidden="1"/>
    </xf>
    <xf numFmtId="0" fontId="71" fillId="0" borderId="18" xfId="0" applyFont="1" applyBorder="1" applyAlignment="1" applyProtection="1">
      <alignment horizontal="left"/>
      <protection hidden="1"/>
    </xf>
    <xf numFmtId="0" fontId="71" fillId="0" borderId="10" xfId="0" applyFont="1" applyBorder="1" applyAlignment="1" applyProtection="1">
      <alignment horizontal="left"/>
      <protection hidden="1"/>
    </xf>
    <xf numFmtId="1" fontId="0" fillId="0" borderId="17" xfId="0" applyNumberFormat="1" applyBorder="1" applyAlignment="1" applyProtection="1">
      <alignment horizontal="right" vertical="top"/>
      <protection hidden="1"/>
    </xf>
    <xf numFmtId="1" fontId="0" fillId="0" borderId="44" xfId="0" applyNumberFormat="1" applyBorder="1" applyAlignment="1" applyProtection="1">
      <alignment horizontal="right" vertical="top"/>
      <protection hidden="1"/>
    </xf>
    <xf numFmtId="1" fontId="0" fillId="0" borderId="16" xfId="0" applyNumberFormat="1" applyBorder="1" applyAlignment="1" applyProtection="1">
      <alignment horizontal="right" vertical="top"/>
      <protection hidden="1"/>
    </xf>
    <xf numFmtId="1" fontId="0" fillId="0" borderId="45" xfId="0" applyNumberFormat="1" applyBorder="1" applyAlignment="1" applyProtection="1">
      <alignment horizontal="right" vertical="top"/>
      <protection hidden="1"/>
    </xf>
    <xf numFmtId="1" fontId="0" fillId="0" borderId="0" xfId="0" applyNumberFormat="1" applyBorder="1" applyAlignment="1" applyProtection="1">
      <alignment horizontal="right" vertical="top"/>
      <protection hidden="1"/>
    </xf>
    <xf numFmtId="1" fontId="0" fillId="0" borderId="46" xfId="0" applyNumberFormat="1" applyBorder="1" applyAlignment="1" applyProtection="1">
      <alignment horizontal="right" vertical="top"/>
      <protection hidden="1"/>
    </xf>
    <xf numFmtId="1" fontId="0" fillId="0" borderId="13" xfId="0" applyNumberFormat="1" applyBorder="1" applyAlignment="1" applyProtection="1">
      <alignment horizontal="right" vertical="top"/>
      <protection hidden="1"/>
    </xf>
    <xf numFmtId="1" fontId="0" fillId="0" borderId="14" xfId="0" applyNumberFormat="1" applyBorder="1" applyAlignment="1" applyProtection="1">
      <alignment horizontal="right" vertical="top"/>
      <protection hidden="1"/>
    </xf>
    <xf numFmtId="1" fontId="0" fillId="0" borderId="15" xfId="0" applyNumberFormat="1" applyBorder="1" applyAlignment="1" applyProtection="1">
      <alignment horizontal="right" vertical="top"/>
      <protection hidden="1"/>
    </xf>
    <xf numFmtId="0" fontId="0" fillId="0" borderId="11" xfId="0" applyBorder="1" applyAlignment="1" applyProtection="1">
      <alignment horizontal="right"/>
      <protection hidden="1"/>
    </xf>
    <xf numFmtId="0" fontId="88" fillId="0" borderId="11" xfId="0" applyFont="1" applyBorder="1" applyAlignment="1" applyProtection="1">
      <alignment horizontal="center"/>
      <protection hidden="1"/>
    </xf>
    <xf numFmtId="0" fontId="89" fillId="0" borderId="11" xfId="0" applyFont="1" applyBorder="1" applyAlignment="1" applyProtection="1">
      <alignment horizontal="center"/>
      <protection hidden="1"/>
    </xf>
    <xf numFmtId="0" fontId="79" fillId="0" borderId="12" xfId="0" applyFont="1" applyBorder="1" applyAlignment="1" applyProtection="1">
      <alignment horizontal="center"/>
      <protection hidden="1"/>
    </xf>
    <xf numFmtId="0" fontId="79" fillId="0" borderId="18" xfId="0" applyFont="1" applyBorder="1" applyAlignment="1" applyProtection="1">
      <alignment horizontal="center"/>
      <protection hidden="1"/>
    </xf>
    <xf numFmtId="0" fontId="79" fillId="0" borderId="10" xfId="0" applyFont="1" applyBorder="1" applyAlignment="1" applyProtection="1">
      <alignment horizontal="center"/>
      <protection hidden="1"/>
    </xf>
    <xf numFmtId="0" fontId="65" fillId="0" borderId="11" xfId="53" applyFont="1" applyBorder="1" applyAlignment="1" applyProtection="1">
      <alignment horizontal="left"/>
      <protection hidden="1"/>
    </xf>
    <xf numFmtId="192" fontId="65" fillId="0" borderId="11" xfId="53" applyNumberFormat="1" applyBorder="1" applyAlignment="1" applyProtection="1">
      <alignment horizontal="right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71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/>
    </xf>
    <xf numFmtId="1" fontId="71" fillId="0" borderId="11" xfId="0" applyNumberFormat="1" applyFont="1" applyBorder="1" applyAlignment="1" applyProtection="1">
      <alignment horizontal="right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58" fillId="34" borderId="11" xfId="0" applyFont="1" applyFill="1" applyBorder="1" applyAlignment="1" applyProtection="1">
      <alignment horizontal="center"/>
      <protection hidden="1"/>
    </xf>
    <xf numFmtId="0" fontId="58" fillId="34" borderId="11" xfId="0" applyFont="1" applyFill="1" applyBorder="1" applyAlignment="1" applyProtection="1">
      <alignment horizontal="left"/>
      <protection hidden="1"/>
    </xf>
    <xf numFmtId="0" fontId="58" fillId="34" borderId="11" xfId="0" applyFont="1" applyFill="1" applyBorder="1" applyAlignment="1" applyProtection="1">
      <alignment horizontal="center" vertical="top"/>
      <protection hidden="1"/>
    </xf>
    <xf numFmtId="0" fontId="90" fillId="34" borderId="11" xfId="0" applyFont="1" applyFill="1" applyBorder="1" applyAlignment="1" applyProtection="1">
      <alignment horizontal="center" wrapText="1"/>
      <protection hidden="1"/>
    </xf>
    <xf numFmtId="0" fontId="58" fillId="33" borderId="11" xfId="0" applyFont="1" applyFill="1" applyBorder="1" applyAlignment="1" applyProtection="1">
      <alignment horizontal="center" vertical="top"/>
      <protection hidden="1"/>
    </xf>
    <xf numFmtId="0" fontId="58" fillId="34" borderId="11" xfId="0" applyFont="1" applyFill="1" applyBorder="1" applyAlignment="1" applyProtection="1">
      <alignment horizontal="right"/>
      <protection hidden="1"/>
    </xf>
    <xf numFmtId="0" fontId="77" fillId="0" borderId="12" xfId="0" applyFont="1" applyBorder="1" applyAlignment="1" applyProtection="1">
      <alignment horizontal="center"/>
      <protection hidden="1"/>
    </xf>
    <xf numFmtId="0" fontId="77" fillId="0" borderId="10" xfId="0" applyFont="1" applyBorder="1" applyAlignment="1" applyProtection="1">
      <alignment horizontal="center"/>
      <protection hidden="1"/>
    </xf>
    <xf numFmtId="0" fontId="73" fillId="33" borderId="47" xfId="0" applyFont="1" applyFill="1" applyBorder="1" applyAlignment="1" applyProtection="1">
      <alignment horizontal="center"/>
      <protection hidden="1"/>
    </xf>
    <xf numFmtId="0" fontId="73" fillId="33" borderId="48" xfId="0" applyFont="1" applyFill="1" applyBorder="1" applyAlignment="1" applyProtection="1">
      <alignment horizontal="center"/>
      <protection hidden="1"/>
    </xf>
    <xf numFmtId="0" fontId="91" fillId="34" borderId="37" xfId="0" applyFont="1" applyFill="1" applyBorder="1" applyAlignment="1" applyProtection="1">
      <alignment horizontal="center"/>
      <protection hidden="1"/>
    </xf>
    <xf numFmtId="0" fontId="91" fillId="34" borderId="11" xfId="0" applyFont="1" applyFill="1" applyBorder="1" applyAlignment="1" applyProtection="1">
      <alignment horizontal="center"/>
      <protection hidden="1"/>
    </xf>
    <xf numFmtId="0" fontId="92" fillId="34" borderId="37" xfId="0" applyFont="1" applyFill="1" applyBorder="1" applyAlignment="1" applyProtection="1">
      <alignment horizontal="center"/>
      <protection hidden="1"/>
    </xf>
    <xf numFmtId="0" fontId="92" fillId="34" borderId="11" xfId="0" applyFont="1" applyFill="1" applyBorder="1" applyAlignment="1" applyProtection="1">
      <alignment horizontal="center"/>
      <protection hidden="1"/>
    </xf>
    <xf numFmtId="0" fontId="73" fillId="0" borderId="12" xfId="0" applyFont="1" applyBorder="1" applyAlignment="1" applyProtection="1">
      <alignment horizontal="center"/>
      <protection hidden="1"/>
    </xf>
    <xf numFmtId="0" fontId="73" fillId="0" borderId="10" xfId="0" applyFont="1" applyBorder="1" applyAlignment="1" applyProtection="1">
      <alignment horizontal="center"/>
      <protection hidden="1"/>
    </xf>
    <xf numFmtId="0" fontId="78" fillId="0" borderId="12" xfId="0" applyFont="1" applyBorder="1" applyAlignment="1" applyProtection="1">
      <alignment horizontal="center" vertical="center"/>
      <protection hidden="1"/>
    </xf>
    <xf numFmtId="0" fontId="78" fillId="0" borderId="10" xfId="0" applyFont="1" applyBorder="1" applyAlignment="1" applyProtection="1">
      <alignment horizontal="center" vertical="center"/>
      <protection hidden="1"/>
    </xf>
    <xf numFmtId="0" fontId="81" fillId="0" borderId="47" xfId="0" applyFont="1" applyBorder="1" applyAlignment="1" applyProtection="1">
      <alignment horizontal="center"/>
      <protection hidden="1"/>
    </xf>
    <xf numFmtId="0" fontId="81" fillId="0" borderId="48" xfId="0" applyFont="1" applyBorder="1" applyAlignment="1" applyProtection="1">
      <alignment horizontal="center"/>
      <protection hidden="1"/>
    </xf>
    <xf numFmtId="0" fontId="81" fillId="0" borderId="49" xfId="0" applyFont="1" applyBorder="1" applyAlignment="1" applyProtection="1">
      <alignment horizontal="center"/>
      <protection hidden="1"/>
    </xf>
    <xf numFmtId="0" fontId="73" fillId="33" borderId="49" xfId="0" applyFont="1" applyFill="1" applyBorder="1" applyAlignment="1" applyProtection="1">
      <alignment horizontal="center"/>
      <protection hidden="1"/>
    </xf>
    <xf numFmtId="0" fontId="81" fillId="0" borderId="34" xfId="0" applyFont="1" applyBorder="1" applyAlignment="1" applyProtection="1">
      <alignment horizontal="right"/>
      <protection hidden="1"/>
    </xf>
    <xf numFmtId="0" fontId="81" fillId="0" borderId="41" xfId="0" applyFont="1" applyBorder="1" applyAlignment="1" applyProtection="1">
      <alignment horizontal="right"/>
      <protection hidden="1"/>
    </xf>
    <xf numFmtId="0" fontId="91" fillId="34" borderId="17" xfId="0" applyFont="1" applyFill="1" applyBorder="1" applyAlignment="1" applyProtection="1">
      <alignment horizontal="center" textRotation="90" wrapText="1"/>
      <protection hidden="1"/>
    </xf>
    <xf numFmtId="0" fontId="91" fillId="34" borderId="13" xfId="0" applyFont="1" applyFill="1" applyBorder="1" applyAlignment="1" applyProtection="1">
      <alignment horizontal="center" textRotation="90" wrapText="1"/>
      <protection hidden="1"/>
    </xf>
    <xf numFmtId="0" fontId="91" fillId="34" borderId="11" xfId="0" applyFont="1" applyFill="1" applyBorder="1" applyAlignment="1" applyProtection="1">
      <alignment horizontal="center" textRotation="90" wrapText="1"/>
      <protection hidden="1"/>
    </xf>
    <xf numFmtId="0" fontId="91" fillId="34" borderId="11" xfId="0" applyFont="1" applyFill="1" applyBorder="1" applyAlignment="1" applyProtection="1">
      <alignment horizontal="center" textRotation="90"/>
      <protection hidden="1"/>
    </xf>
    <xf numFmtId="0" fontId="51" fillId="0" borderId="12" xfId="0" applyFont="1" applyBorder="1" applyAlignment="1" applyProtection="1">
      <alignment horizontal="center"/>
      <protection hidden="1"/>
    </xf>
    <xf numFmtId="0" fontId="51" fillId="0" borderId="10" xfId="0" applyFont="1" applyBorder="1" applyAlignment="1" applyProtection="1">
      <alignment horizontal="center"/>
      <protection hidden="1"/>
    </xf>
    <xf numFmtId="0" fontId="80" fillId="34" borderId="12" xfId="0" applyFont="1" applyFill="1" applyBorder="1" applyAlignment="1" applyProtection="1">
      <alignment horizontal="center"/>
      <protection hidden="1"/>
    </xf>
    <xf numFmtId="0" fontId="80" fillId="34" borderId="18" xfId="0" applyFont="1" applyFill="1" applyBorder="1" applyAlignment="1" applyProtection="1">
      <alignment horizontal="center"/>
      <protection hidden="1"/>
    </xf>
    <xf numFmtId="0" fontId="47" fillId="33" borderId="11" xfId="0" applyFont="1" applyFill="1" applyBorder="1" applyAlignment="1" applyProtection="1">
      <alignment horizontal="center"/>
      <protection hidden="1"/>
    </xf>
    <xf numFmtId="0" fontId="49" fillId="33" borderId="11" xfId="0" applyFont="1" applyFill="1" applyBorder="1" applyAlignment="1" applyProtection="1">
      <alignment horizontal="center"/>
      <protection hidden="1"/>
    </xf>
    <xf numFmtId="0" fontId="80" fillId="34" borderId="10" xfId="0" applyFont="1" applyFill="1" applyBorder="1" applyAlignment="1" applyProtection="1">
      <alignment horizontal="center"/>
      <protection hidden="1"/>
    </xf>
    <xf numFmtId="0" fontId="77" fillId="0" borderId="11" xfId="0" applyFont="1" applyBorder="1" applyAlignment="1" applyProtection="1">
      <alignment horizontal="center"/>
      <protection hidden="1"/>
    </xf>
    <xf numFmtId="0" fontId="77" fillId="33" borderId="12" xfId="0" applyFont="1" applyFill="1" applyBorder="1" applyAlignment="1" applyProtection="1">
      <alignment horizontal="center"/>
      <protection hidden="1"/>
    </xf>
    <xf numFmtId="0" fontId="77" fillId="33" borderId="10" xfId="0" applyFont="1" applyFill="1" applyBorder="1" applyAlignment="1" applyProtection="1">
      <alignment horizontal="center"/>
      <protection hidden="1"/>
    </xf>
    <xf numFmtId="0" fontId="77" fillId="0" borderId="11" xfId="0" applyFont="1" applyBorder="1" applyAlignment="1" applyProtection="1">
      <alignment horizontal="left"/>
      <protection hidden="1"/>
    </xf>
    <xf numFmtId="2" fontId="77" fillId="0" borderId="11" xfId="0" applyNumberFormat="1" applyFont="1" applyBorder="1" applyAlignment="1" applyProtection="1">
      <alignment horizontal="right"/>
      <protection hidden="1"/>
    </xf>
    <xf numFmtId="2" fontId="77" fillId="0" borderId="12" xfId="0" applyNumberFormat="1" applyFont="1" applyBorder="1" applyAlignment="1" applyProtection="1">
      <alignment horizontal="right"/>
      <protection hidden="1"/>
    </xf>
    <xf numFmtId="0" fontId="77" fillId="0" borderId="27" xfId="0" applyFont="1" applyBorder="1" applyAlignment="1" applyProtection="1">
      <alignment horizontal="center"/>
      <protection hidden="1"/>
    </xf>
    <xf numFmtId="0" fontId="75" fillId="34" borderId="35" xfId="0" applyFont="1" applyFill="1" applyBorder="1" applyAlignment="1" applyProtection="1">
      <alignment horizontal="center"/>
      <protection hidden="1"/>
    </xf>
    <xf numFmtId="0" fontId="75" fillId="34" borderId="18" xfId="0" applyFont="1" applyFill="1" applyBorder="1" applyAlignment="1" applyProtection="1">
      <alignment horizontal="center"/>
      <protection hidden="1"/>
    </xf>
    <xf numFmtId="0" fontId="75" fillId="34" borderId="10" xfId="0" applyFont="1" applyFill="1" applyBorder="1" applyAlignment="1" applyProtection="1">
      <alignment horizontal="center"/>
      <protection hidden="1"/>
    </xf>
    <xf numFmtId="1" fontId="77" fillId="0" borderId="11" xfId="0" applyNumberFormat="1" applyFont="1" applyBorder="1" applyAlignment="1" applyProtection="1">
      <alignment horizontal="center"/>
      <protection hidden="1"/>
    </xf>
    <xf numFmtId="1" fontId="77" fillId="0" borderId="27" xfId="0" applyNumberFormat="1" applyFont="1" applyBorder="1" applyAlignment="1" applyProtection="1">
      <alignment horizontal="center"/>
      <protection hidden="1"/>
    </xf>
    <xf numFmtId="0" fontId="77" fillId="0" borderId="35" xfId="0" applyFont="1" applyBorder="1" applyAlignment="1" applyProtection="1">
      <alignment horizontal="left"/>
      <protection hidden="1"/>
    </xf>
    <xf numFmtId="0" fontId="77" fillId="0" borderId="18" xfId="0" applyFont="1" applyBorder="1" applyAlignment="1" applyProtection="1">
      <alignment horizontal="left"/>
      <protection hidden="1"/>
    </xf>
    <xf numFmtId="0" fontId="77" fillId="0" borderId="10" xfId="0" applyFont="1" applyBorder="1" applyAlignment="1" applyProtection="1">
      <alignment horizontal="left"/>
      <protection hidden="1"/>
    </xf>
    <xf numFmtId="0" fontId="77" fillId="0" borderId="11" xfId="0" applyFont="1" applyBorder="1" applyAlignment="1" applyProtection="1">
      <alignment horizontal="right"/>
      <protection hidden="1"/>
    </xf>
    <xf numFmtId="0" fontId="77" fillId="33" borderId="11" xfId="0" applyFont="1" applyFill="1" applyBorder="1" applyAlignment="1" applyProtection="1">
      <alignment horizontal="center"/>
      <protection hidden="1"/>
    </xf>
    <xf numFmtId="0" fontId="77" fillId="33" borderId="27" xfId="0" applyFont="1" applyFill="1" applyBorder="1" applyAlignment="1" applyProtection="1">
      <alignment horizontal="center"/>
      <protection hidden="1"/>
    </xf>
    <xf numFmtId="0" fontId="77" fillId="0" borderId="17" xfId="0" applyFont="1" applyBorder="1" applyAlignment="1" applyProtection="1">
      <alignment horizontal="center"/>
      <protection hidden="1"/>
    </xf>
    <xf numFmtId="0" fontId="77" fillId="0" borderId="16" xfId="0" applyFont="1" applyBorder="1" applyAlignment="1" applyProtection="1">
      <alignment horizontal="center"/>
      <protection hidden="1"/>
    </xf>
    <xf numFmtId="0" fontId="78" fillId="0" borderId="11" xfId="0" applyFont="1" applyBorder="1" applyAlignment="1" applyProtection="1">
      <alignment horizontal="left"/>
      <protection hidden="1"/>
    </xf>
    <xf numFmtId="2" fontId="78" fillId="0" borderId="12" xfId="0" applyNumberFormat="1" applyFont="1" applyBorder="1" applyAlignment="1" applyProtection="1">
      <alignment horizontal="center"/>
      <protection hidden="1"/>
    </xf>
    <xf numFmtId="2" fontId="78" fillId="0" borderId="50" xfId="0" applyNumberFormat="1" applyFont="1" applyBorder="1" applyAlignment="1" applyProtection="1">
      <alignment horizontal="center"/>
      <protection hidden="1"/>
    </xf>
    <xf numFmtId="0" fontId="93" fillId="0" borderId="35" xfId="0" applyFont="1" applyBorder="1" applyAlignment="1" applyProtection="1">
      <alignment horizontal="left"/>
      <protection hidden="1"/>
    </xf>
    <xf numFmtId="0" fontId="93" fillId="0" borderId="18" xfId="0" applyFont="1" applyBorder="1" applyAlignment="1" applyProtection="1">
      <alignment horizontal="left"/>
      <protection hidden="1"/>
    </xf>
    <xf numFmtId="1" fontId="77" fillId="0" borderId="22" xfId="0" applyNumberFormat="1" applyFont="1" applyBorder="1" applyAlignment="1" applyProtection="1">
      <alignment horizontal="center"/>
      <protection hidden="1"/>
    </xf>
    <xf numFmtId="1" fontId="77" fillId="0" borderId="51" xfId="0" applyNumberFormat="1" applyFont="1" applyBorder="1" applyAlignment="1" applyProtection="1">
      <alignment horizontal="center"/>
      <protection hidden="1"/>
    </xf>
    <xf numFmtId="0" fontId="77" fillId="33" borderId="11" xfId="0" applyFont="1" applyFill="1" applyBorder="1" applyAlignment="1" applyProtection="1">
      <alignment horizontal="right"/>
      <protection hidden="1"/>
    </xf>
    <xf numFmtId="0" fontId="78" fillId="0" borderId="52" xfId="0" applyFont="1" applyBorder="1" applyAlignment="1" applyProtection="1">
      <alignment horizontal="center"/>
      <protection hidden="1"/>
    </xf>
    <xf numFmtId="0" fontId="78" fillId="0" borderId="53" xfId="0" applyFont="1" applyBorder="1" applyAlignment="1" applyProtection="1">
      <alignment horizontal="center"/>
      <protection hidden="1"/>
    </xf>
    <xf numFmtId="0" fontId="90" fillId="34" borderId="11" xfId="0" applyFont="1" applyFill="1" applyBorder="1" applyAlignment="1" applyProtection="1">
      <alignment horizontal="center"/>
      <protection hidden="1"/>
    </xf>
    <xf numFmtId="0" fontId="78" fillId="0" borderId="53" xfId="0" applyFont="1" applyBorder="1" applyAlignment="1" applyProtection="1">
      <alignment horizontal="left"/>
      <protection hidden="1"/>
    </xf>
    <xf numFmtId="2" fontId="78" fillId="0" borderId="54" xfId="0" applyNumberFormat="1" applyFont="1" applyBorder="1" applyAlignment="1" applyProtection="1">
      <alignment horizontal="center"/>
      <protection hidden="1"/>
    </xf>
    <xf numFmtId="2" fontId="78" fillId="0" borderId="55" xfId="0" applyNumberFormat="1" applyFont="1" applyBorder="1" applyAlignment="1" applyProtection="1">
      <alignment horizontal="center"/>
      <protection hidden="1"/>
    </xf>
    <xf numFmtId="0" fontId="94" fillId="0" borderId="45" xfId="53" applyFont="1" applyBorder="1" applyAlignment="1" applyProtection="1">
      <alignment horizontal="center"/>
      <protection hidden="1"/>
    </xf>
    <xf numFmtId="0" fontId="94" fillId="0" borderId="0" xfId="53" applyFont="1" applyBorder="1" applyAlignment="1" applyProtection="1">
      <alignment horizontal="center"/>
      <protection hidden="1"/>
    </xf>
    <xf numFmtId="0" fontId="94" fillId="0" borderId="46" xfId="53" applyFont="1" applyBorder="1" applyAlignment="1" applyProtection="1">
      <alignment horizontal="center"/>
      <protection hidden="1"/>
    </xf>
    <xf numFmtId="0" fontId="77" fillId="0" borderId="22" xfId="0" applyFont="1" applyBorder="1" applyAlignment="1" applyProtection="1">
      <alignment horizontal="center"/>
      <protection hidden="1"/>
    </xf>
    <xf numFmtId="0" fontId="78" fillId="0" borderId="56" xfId="0" applyFont="1" applyBorder="1" applyAlignment="1" applyProtection="1">
      <alignment horizontal="left" vertical="center"/>
      <protection hidden="1"/>
    </xf>
    <xf numFmtId="2" fontId="95" fillId="0" borderId="56" xfId="0" applyNumberFormat="1" applyFont="1" applyBorder="1" applyAlignment="1" applyProtection="1">
      <alignment horizontal="center" vertical="center"/>
      <protection hidden="1"/>
    </xf>
    <xf numFmtId="0" fontId="77" fillId="0" borderId="12" xfId="0" applyFont="1" applyBorder="1" applyAlignment="1" applyProtection="1">
      <alignment horizontal="right"/>
      <protection hidden="1"/>
    </xf>
    <xf numFmtId="0" fontId="81" fillId="0" borderId="12" xfId="0" applyFont="1" applyBorder="1" applyAlignment="1" applyProtection="1">
      <alignment horizontal="right"/>
      <protection hidden="1"/>
    </xf>
    <xf numFmtId="0" fontId="81" fillId="0" borderId="18" xfId="0" applyFont="1" applyBorder="1" applyAlignment="1" applyProtection="1">
      <alignment horizontal="right"/>
      <protection hidden="1"/>
    </xf>
    <xf numFmtId="0" fontId="73" fillId="0" borderId="18" xfId="0" applyFont="1" applyBorder="1" applyAlignment="1" applyProtection="1">
      <alignment horizontal="left"/>
      <protection hidden="1"/>
    </xf>
    <xf numFmtId="0" fontId="47" fillId="33" borderId="57" xfId="0" applyFont="1" applyFill="1" applyBorder="1" applyAlignment="1" applyProtection="1">
      <alignment horizontal="center"/>
      <protection hidden="1"/>
    </xf>
    <xf numFmtId="0" fontId="47" fillId="33" borderId="56" xfId="0" applyFont="1" applyFill="1" applyBorder="1" applyAlignment="1" applyProtection="1">
      <alignment horizontal="center"/>
      <protection hidden="1"/>
    </xf>
    <xf numFmtId="1" fontId="47" fillId="33" borderId="56" xfId="0" applyNumberFormat="1" applyFont="1" applyFill="1" applyBorder="1" applyAlignment="1" applyProtection="1">
      <alignment horizontal="center"/>
      <protection hidden="1"/>
    </xf>
    <xf numFmtId="1" fontId="47" fillId="33" borderId="58" xfId="0" applyNumberFormat="1" applyFont="1" applyFill="1" applyBorder="1" applyAlignment="1" applyProtection="1">
      <alignment horizontal="center"/>
      <protection hidden="1"/>
    </xf>
    <xf numFmtId="1" fontId="77" fillId="0" borderId="53" xfId="0" applyNumberFormat="1" applyFont="1" applyBorder="1" applyAlignment="1" applyProtection="1">
      <alignment horizontal="center"/>
      <protection hidden="1"/>
    </xf>
    <xf numFmtId="1" fontId="77" fillId="0" borderId="59" xfId="0" applyNumberFormat="1" applyFont="1" applyBorder="1" applyAlignment="1" applyProtection="1">
      <alignment horizontal="center"/>
      <protection hidden="1"/>
    </xf>
    <xf numFmtId="0" fontId="96" fillId="35" borderId="34" xfId="0" applyFont="1" applyFill="1" applyBorder="1" applyAlignment="1" applyProtection="1">
      <alignment horizontal="center"/>
      <protection hidden="1"/>
    </xf>
    <xf numFmtId="0" fontId="96" fillId="35" borderId="41" xfId="0" applyFont="1" applyFill="1" applyBorder="1" applyAlignment="1" applyProtection="1">
      <alignment horizontal="center"/>
      <protection hidden="1"/>
    </xf>
    <xf numFmtId="0" fontId="96" fillId="35" borderId="60" xfId="0" applyFont="1" applyFill="1" applyBorder="1" applyAlignment="1" applyProtection="1">
      <alignment horizontal="center"/>
      <protection hidden="1"/>
    </xf>
    <xf numFmtId="0" fontId="71" fillId="33" borderId="11" xfId="0" applyFont="1" applyFill="1" applyBorder="1" applyAlignment="1" applyProtection="1">
      <alignment horizontal="center"/>
      <protection hidden="1"/>
    </xf>
    <xf numFmtId="0" fontId="71" fillId="33" borderId="27" xfId="0" applyFont="1" applyFill="1" applyBorder="1" applyAlignment="1" applyProtection="1">
      <alignment horizontal="center"/>
      <protection hidden="1"/>
    </xf>
    <xf numFmtId="0" fontId="71" fillId="33" borderId="23" xfId="0" applyFont="1" applyFill="1" applyBorder="1" applyAlignment="1" applyProtection="1">
      <alignment horizontal="center"/>
      <protection hidden="1"/>
    </xf>
    <xf numFmtId="0" fontId="71" fillId="33" borderId="40" xfId="0" applyFont="1" applyFill="1" applyBorder="1" applyAlignment="1" applyProtection="1">
      <alignment horizontal="center"/>
      <protection hidden="1"/>
    </xf>
    <xf numFmtId="0" fontId="0" fillId="10" borderId="35" xfId="0" applyFill="1" applyBorder="1" applyAlignment="1" applyProtection="1">
      <alignment horizontal="center"/>
      <protection hidden="1"/>
    </xf>
    <xf numFmtId="0" fontId="0" fillId="10" borderId="50" xfId="0" applyFill="1" applyBorder="1" applyAlignment="1" applyProtection="1">
      <alignment horizontal="center"/>
      <protection hidden="1"/>
    </xf>
    <xf numFmtId="0" fontId="0" fillId="33" borderId="39" xfId="0" applyFill="1" applyBorder="1" applyAlignment="1" applyProtection="1">
      <alignment horizontal="center"/>
      <protection hidden="1" locked="0"/>
    </xf>
    <xf numFmtId="0" fontId="0" fillId="33" borderId="61" xfId="0" applyFill="1" applyBorder="1" applyAlignment="1" applyProtection="1">
      <alignment horizontal="center"/>
      <protection hidden="1" locked="0"/>
    </xf>
    <xf numFmtId="0" fontId="0" fillId="33" borderId="62" xfId="0" applyFill="1" applyBorder="1" applyAlignment="1" applyProtection="1">
      <alignment horizontal="center"/>
      <protection hidden="1" locked="0"/>
    </xf>
    <xf numFmtId="0" fontId="0" fillId="37" borderId="11" xfId="0" applyFill="1" applyBorder="1" applyAlignment="1" applyProtection="1">
      <alignment horizontal="center"/>
      <protection locked="0"/>
    </xf>
    <xf numFmtId="0" fontId="0" fillId="37" borderId="27" xfId="0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 horizontal="center"/>
      <protection hidden="1"/>
    </xf>
    <xf numFmtId="0" fontId="0" fillId="8" borderId="38" xfId="0" applyFill="1" applyBorder="1" applyAlignment="1" applyProtection="1">
      <alignment horizontal="center"/>
      <protection hidden="1"/>
    </xf>
    <xf numFmtId="0" fontId="85" fillId="36" borderId="20" xfId="0" applyFont="1" applyFill="1" applyBorder="1" applyAlignment="1" applyProtection="1">
      <alignment horizontal="center"/>
      <protection hidden="1"/>
    </xf>
    <xf numFmtId="0" fontId="85" fillId="36" borderId="11" xfId="0" applyFont="1" applyFill="1" applyBorder="1" applyAlignment="1" applyProtection="1">
      <alignment horizontal="center"/>
      <protection hidden="1"/>
    </xf>
    <xf numFmtId="0" fontId="0" fillId="36" borderId="20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72" fillId="36" borderId="30" xfId="0" applyFont="1" applyFill="1" applyBorder="1" applyAlignment="1" applyProtection="1">
      <alignment horizontal="center"/>
      <protection hidden="1"/>
    </xf>
    <xf numFmtId="0" fontId="72" fillId="36" borderId="23" xfId="0" applyFont="1" applyFill="1" applyBorder="1" applyAlignment="1" applyProtection="1">
      <alignment horizontal="center"/>
      <protection hidden="1"/>
    </xf>
    <xf numFmtId="0" fontId="0" fillId="35" borderId="63" xfId="0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7" borderId="38" xfId="0" applyFill="1" applyBorder="1" applyAlignment="1" applyProtection="1">
      <alignment horizontal="center"/>
      <protection locked="0"/>
    </xf>
    <xf numFmtId="0" fontId="0" fillId="37" borderId="64" xfId="0" applyFill="1" applyBorder="1" applyAlignment="1" applyProtection="1">
      <alignment horizontal="center"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5" borderId="65" xfId="0" applyFill="1" applyBorder="1" applyAlignment="1" applyProtection="1">
      <alignment horizontal="left"/>
      <protection hidden="1"/>
    </xf>
    <xf numFmtId="0" fontId="0" fillId="35" borderId="31" xfId="0" applyFill="1" applyBorder="1" applyAlignment="1" applyProtection="1">
      <alignment horizontal="left"/>
      <protection hidden="1"/>
    </xf>
    <xf numFmtId="0" fontId="0" fillId="35" borderId="47" xfId="0" applyFill="1" applyBorder="1" applyAlignment="1" applyProtection="1">
      <alignment horizontal="left"/>
      <protection hidden="1"/>
    </xf>
    <xf numFmtId="0" fontId="0" fillId="35" borderId="48" xfId="0" applyFill="1" applyBorder="1" applyAlignment="1" applyProtection="1">
      <alignment horizontal="left"/>
      <protection hidden="1"/>
    </xf>
    <xf numFmtId="0" fontId="97" fillId="3" borderId="63" xfId="0" applyFont="1" applyFill="1" applyBorder="1" applyAlignment="1" applyProtection="1">
      <alignment horizontal="center" vertical="center" wrapText="1"/>
      <protection hidden="1"/>
    </xf>
    <xf numFmtId="0" fontId="97" fillId="3" borderId="33" xfId="0" applyFont="1" applyFill="1" applyBorder="1" applyAlignment="1" applyProtection="1">
      <alignment horizontal="center" vertical="center" wrapText="1"/>
      <protection hidden="1"/>
    </xf>
    <xf numFmtId="0" fontId="97" fillId="3" borderId="0" xfId="0" applyFont="1" applyFill="1" applyBorder="1" applyAlignment="1" applyProtection="1">
      <alignment horizontal="center" vertical="center" wrapText="1"/>
      <protection hidden="1"/>
    </xf>
    <xf numFmtId="0" fontId="97" fillId="3" borderId="24" xfId="0" applyFont="1" applyFill="1" applyBorder="1" applyAlignment="1" applyProtection="1">
      <alignment horizontal="center" vertical="center" wrapText="1"/>
      <protection hidden="1"/>
    </xf>
    <xf numFmtId="0" fontId="97" fillId="3" borderId="66" xfId="0" applyFont="1" applyFill="1" applyBorder="1" applyAlignment="1" applyProtection="1">
      <alignment horizontal="center" vertical="center" wrapText="1"/>
      <protection hidden="1"/>
    </xf>
    <xf numFmtId="0" fontId="97" fillId="3" borderId="65" xfId="0" applyFont="1" applyFill="1" applyBorder="1" applyAlignment="1" applyProtection="1">
      <alignment horizontal="center" vertical="center" wrapText="1"/>
      <protection hidden="1"/>
    </xf>
    <xf numFmtId="0" fontId="97" fillId="3" borderId="31" xfId="0" applyFont="1" applyFill="1" applyBorder="1" applyAlignment="1" applyProtection="1">
      <alignment horizontal="center" vertical="center" wrapText="1"/>
      <protection hidden="1"/>
    </xf>
    <xf numFmtId="0" fontId="72" fillId="35" borderId="28" xfId="0" applyFont="1" applyFill="1" applyBorder="1" applyAlignment="1" applyProtection="1">
      <alignment horizontal="center" vertical="center"/>
      <protection hidden="1"/>
    </xf>
    <xf numFmtId="0" fontId="72" fillId="35" borderId="63" xfId="0" applyFont="1" applyFill="1" applyBorder="1" applyAlignment="1" applyProtection="1">
      <alignment horizontal="center" vertical="center"/>
      <protection hidden="1"/>
    </xf>
    <xf numFmtId="0" fontId="72" fillId="35" borderId="66" xfId="0" applyFont="1" applyFill="1" applyBorder="1" applyAlignment="1" applyProtection="1">
      <alignment horizontal="center" vertical="center"/>
      <protection hidden="1"/>
    </xf>
    <xf numFmtId="0" fontId="72" fillId="35" borderId="0" xfId="0" applyFont="1" applyFill="1" applyBorder="1" applyAlignment="1" applyProtection="1">
      <alignment horizontal="center" vertical="center"/>
      <protection hidden="1"/>
    </xf>
    <xf numFmtId="0" fontId="72" fillId="35" borderId="65" xfId="0" applyFont="1" applyFill="1" applyBorder="1" applyAlignment="1" applyProtection="1">
      <alignment horizontal="center" vertical="center"/>
      <protection hidden="1"/>
    </xf>
    <xf numFmtId="0" fontId="72" fillId="35" borderId="31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left"/>
      <protection hidden="1"/>
    </xf>
    <xf numFmtId="0" fontId="0" fillId="35" borderId="26" xfId="0" applyFill="1" applyBorder="1" applyAlignment="1" applyProtection="1">
      <alignment horizontal="center" wrapText="1"/>
      <protection hidden="1"/>
    </xf>
    <xf numFmtId="0" fontId="0" fillId="35" borderId="27" xfId="0" applyFill="1" applyBorder="1" applyAlignment="1" applyProtection="1">
      <alignment horizontal="center"/>
      <protection hidden="1"/>
    </xf>
    <xf numFmtId="0" fontId="0" fillId="37" borderId="22" xfId="0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hidden="1"/>
    </xf>
    <xf numFmtId="0" fontId="0" fillId="35" borderId="63" xfId="0" applyFill="1" applyBorder="1" applyAlignment="1" applyProtection="1">
      <alignment horizontal="center"/>
      <protection hidden="1"/>
    </xf>
    <xf numFmtId="0" fontId="0" fillId="35" borderId="33" xfId="0" applyFill="1" applyBorder="1" applyAlignment="1" applyProtection="1">
      <alignment horizontal="center"/>
      <protection hidden="1"/>
    </xf>
    <xf numFmtId="0" fontId="98" fillId="33" borderId="28" xfId="0" applyFont="1" applyFill="1" applyBorder="1" applyAlignment="1" applyProtection="1">
      <alignment horizontal="center" vertical="center"/>
      <protection hidden="1"/>
    </xf>
    <xf numFmtId="0" fontId="98" fillId="33" borderId="63" xfId="0" applyFont="1" applyFill="1" applyBorder="1" applyAlignment="1" applyProtection="1">
      <alignment horizontal="center" vertical="center"/>
      <protection hidden="1"/>
    </xf>
    <xf numFmtId="0" fontId="98" fillId="33" borderId="33" xfId="0" applyFont="1" applyFill="1" applyBorder="1" applyAlignment="1" applyProtection="1">
      <alignment horizontal="center" vertical="center"/>
      <protection hidden="1"/>
    </xf>
    <xf numFmtId="0" fontId="98" fillId="33" borderId="66" xfId="0" applyFont="1" applyFill="1" applyBorder="1" applyAlignment="1" applyProtection="1">
      <alignment horizontal="center" vertical="center"/>
      <protection hidden="1"/>
    </xf>
    <xf numFmtId="0" fontId="98" fillId="33" borderId="0" xfId="0" applyFont="1" applyFill="1" applyBorder="1" applyAlignment="1" applyProtection="1">
      <alignment horizontal="center" vertical="center"/>
      <protection hidden="1"/>
    </xf>
    <xf numFmtId="0" fontId="98" fillId="33" borderId="24" xfId="0" applyFont="1" applyFill="1" applyBorder="1" applyAlignment="1" applyProtection="1">
      <alignment horizontal="center" vertical="center"/>
      <protection hidden="1"/>
    </xf>
    <xf numFmtId="0" fontId="98" fillId="33" borderId="67" xfId="0" applyFont="1" applyFill="1" applyBorder="1" applyAlignment="1" applyProtection="1">
      <alignment horizontal="center" vertical="center"/>
      <protection hidden="1"/>
    </xf>
    <xf numFmtId="0" fontId="98" fillId="33" borderId="14" xfId="0" applyFont="1" applyFill="1" applyBorder="1" applyAlignment="1" applyProtection="1">
      <alignment horizontal="center" vertical="center"/>
      <protection hidden="1"/>
    </xf>
    <xf numFmtId="0" fontId="98" fillId="33" borderId="68" xfId="0" applyFont="1" applyFill="1" applyBorder="1" applyAlignment="1" applyProtection="1">
      <alignment horizontal="center" vertical="center"/>
      <protection hidden="1"/>
    </xf>
    <xf numFmtId="0" fontId="71" fillId="0" borderId="19" xfId="0" applyFont="1" applyBorder="1" applyAlignment="1" applyProtection="1">
      <alignment horizontal="center"/>
      <protection hidden="1"/>
    </xf>
    <xf numFmtId="0" fontId="71" fillId="0" borderId="38" xfId="0" applyFont="1" applyBorder="1" applyAlignment="1" applyProtection="1">
      <alignment horizontal="center"/>
      <protection hidden="1"/>
    </xf>
    <xf numFmtId="0" fontId="86" fillId="35" borderId="66" xfId="0" applyFont="1" applyFill="1" applyBorder="1" applyAlignment="1" applyProtection="1">
      <alignment horizontal="center"/>
      <protection hidden="1"/>
    </xf>
    <xf numFmtId="0" fontId="86" fillId="35" borderId="0" xfId="0" applyFont="1" applyFill="1" applyBorder="1" applyAlignment="1" applyProtection="1">
      <alignment horizontal="center"/>
      <protection hidden="1"/>
    </xf>
    <xf numFmtId="0" fontId="86" fillId="35" borderId="24" xfId="0" applyFont="1" applyFill="1" applyBorder="1" applyAlignment="1" applyProtection="1">
      <alignment horizontal="center"/>
      <protection hidden="1"/>
    </xf>
    <xf numFmtId="0" fontId="89" fillId="0" borderId="0" xfId="0" applyFont="1" applyAlignment="1" applyProtection="1">
      <alignment horizontal="center"/>
      <protection hidden="1"/>
    </xf>
    <xf numFmtId="0" fontId="0" fillId="0" borderId="35" xfId="0" applyBorder="1" applyAlignment="1" applyProtection="1">
      <alignment horizontal="left"/>
      <protection hidden="1"/>
    </xf>
    <xf numFmtId="0" fontId="0" fillId="0" borderId="30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view="pageLayout" showRuler="0" workbookViewId="0" topLeftCell="A1">
      <selection activeCell="G21" sqref="G21"/>
    </sheetView>
  </sheetViews>
  <sheetFormatPr defaultColWidth="9.140625" defaultRowHeight="15"/>
  <cols>
    <col min="1" max="1" width="6.140625" style="3" customWidth="1"/>
    <col min="2" max="4" width="9.140625" style="3" customWidth="1"/>
    <col min="5" max="5" width="16.8515625" style="3" customWidth="1"/>
    <col min="6" max="6" width="9.140625" style="3" customWidth="1"/>
    <col min="7" max="7" width="7.8515625" style="3" customWidth="1"/>
    <col min="8" max="8" width="7.7109375" style="3" customWidth="1"/>
    <col min="9" max="9" width="5.28125" style="3" customWidth="1"/>
    <col min="10" max="10" width="2.7109375" style="3" customWidth="1"/>
    <col min="11" max="16384" width="9.140625" style="3" customWidth="1"/>
  </cols>
  <sheetData>
    <row r="1" spans="1:10" ht="20.25">
      <c r="A1" s="180" t="s">
        <v>94</v>
      </c>
      <c r="B1" s="180"/>
      <c r="C1" s="181" t="s">
        <v>95</v>
      </c>
      <c r="D1" s="181"/>
      <c r="E1" s="27" t="str">
        <f>FACE!B21</f>
        <v>2018-19</v>
      </c>
      <c r="F1" s="181" t="s">
        <v>96</v>
      </c>
      <c r="G1" s="181"/>
      <c r="H1" s="182" t="str">
        <f>FACE!B20</f>
        <v>2019-20</v>
      </c>
      <c r="I1" s="183"/>
      <c r="J1" s="184"/>
    </row>
    <row r="2" spans="1:10" ht="15">
      <c r="A2" s="163" t="s">
        <v>40</v>
      </c>
      <c r="B2" s="163"/>
      <c r="C2" s="163"/>
      <c r="D2" s="187" t="str">
        <f>Sheet1!D1</f>
        <v>Manohar Nain</v>
      </c>
      <c r="E2" s="187"/>
      <c r="F2" s="187"/>
      <c r="G2" s="187"/>
      <c r="H2" s="188" t="s">
        <v>41</v>
      </c>
      <c r="I2" s="188"/>
      <c r="J2" s="188"/>
    </row>
    <row r="3" spans="1:10" ht="15">
      <c r="A3" s="189"/>
      <c r="B3" s="189"/>
      <c r="C3" s="189"/>
      <c r="D3" s="189"/>
      <c r="E3" s="189"/>
      <c r="F3" s="189"/>
      <c r="G3" s="189"/>
      <c r="H3" s="165">
        <f>FACE!B5</f>
        <v>0</v>
      </c>
      <c r="I3" s="165"/>
      <c r="J3" s="165"/>
    </row>
    <row r="4" spans="1:10" ht="15">
      <c r="A4" s="185" t="s">
        <v>42</v>
      </c>
      <c r="B4" s="185"/>
      <c r="C4" s="185"/>
      <c r="D4" s="185"/>
      <c r="E4" s="185"/>
      <c r="F4" s="185"/>
      <c r="G4" s="185"/>
      <c r="H4" s="186">
        <f>Sheet1!L32</f>
        <v>553412</v>
      </c>
      <c r="I4" s="186"/>
      <c r="J4" s="186"/>
    </row>
    <row r="5" spans="1:10" ht="15">
      <c r="A5" s="162" t="s">
        <v>155</v>
      </c>
      <c r="B5" s="162"/>
      <c r="C5" s="162"/>
      <c r="D5" s="162"/>
      <c r="E5" s="162"/>
      <c r="F5" s="162"/>
      <c r="G5" s="162"/>
      <c r="H5" s="166">
        <f>IF(H4=0,0,40000)</f>
        <v>40000</v>
      </c>
      <c r="I5" s="166"/>
      <c r="J5" s="166"/>
    </row>
    <row r="6" spans="1:10" ht="15">
      <c r="A6" s="162" t="s">
        <v>43</v>
      </c>
      <c r="B6" s="162"/>
      <c r="C6" s="162"/>
      <c r="D6" s="162"/>
      <c r="E6" s="162"/>
      <c r="F6" s="162"/>
      <c r="G6" s="162"/>
      <c r="H6" s="166">
        <f>H4-H5</f>
        <v>513412</v>
      </c>
      <c r="I6" s="166"/>
      <c r="J6" s="166"/>
    </row>
    <row r="7" spans="1:10" ht="15">
      <c r="A7" s="162" t="s">
        <v>44</v>
      </c>
      <c r="B7" s="162"/>
      <c r="C7" s="162"/>
      <c r="D7" s="162"/>
      <c r="E7" s="179">
        <v>0</v>
      </c>
      <c r="F7" s="179"/>
      <c r="G7" s="179"/>
      <c r="H7" s="166">
        <v>0</v>
      </c>
      <c r="I7" s="166"/>
      <c r="J7" s="166"/>
    </row>
    <row r="8" spans="1:10" ht="15">
      <c r="A8" s="28" t="s">
        <v>45</v>
      </c>
      <c r="B8" s="189" t="s">
        <v>46</v>
      </c>
      <c r="C8" s="189"/>
      <c r="D8" s="21">
        <f>E7/100*30</f>
        <v>0</v>
      </c>
      <c r="E8" s="189" t="s">
        <v>47</v>
      </c>
      <c r="F8" s="189"/>
      <c r="G8" s="21">
        <f>IF(FACE!B18&gt;200000,200000,FACE!B18)</f>
        <v>0</v>
      </c>
      <c r="H8" s="190"/>
      <c r="I8" s="190"/>
      <c r="J8" s="190"/>
    </row>
    <row r="9" spans="1:10" ht="15">
      <c r="A9" s="163" t="s">
        <v>48</v>
      </c>
      <c r="B9" s="163"/>
      <c r="C9" s="163"/>
      <c r="D9" s="163"/>
      <c r="E9" s="163"/>
      <c r="F9" s="163"/>
      <c r="G9" s="163"/>
      <c r="H9" s="191">
        <f>H6+H7</f>
        <v>513412</v>
      </c>
      <c r="I9" s="191"/>
      <c r="J9" s="191"/>
    </row>
    <row r="10" spans="1:10" ht="15">
      <c r="A10" s="162" t="s">
        <v>49</v>
      </c>
      <c r="B10" s="162"/>
      <c r="C10" s="162"/>
      <c r="D10" s="162"/>
      <c r="E10" s="162"/>
      <c r="F10" s="162"/>
      <c r="G10" s="162"/>
      <c r="H10" s="166">
        <f>FACE!B26</f>
        <v>0</v>
      </c>
      <c r="I10" s="166"/>
      <c r="J10" s="166"/>
    </row>
    <row r="11" spans="1:10" ht="15">
      <c r="A11" s="163" t="s">
        <v>50</v>
      </c>
      <c r="B11" s="163"/>
      <c r="C11" s="163"/>
      <c r="D11" s="163"/>
      <c r="E11" s="163"/>
      <c r="F11" s="163"/>
      <c r="G11" s="163"/>
      <c r="H11" s="191">
        <f>H9+H10</f>
        <v>513412</v>
      </c>
      <c r="I11" s="191"/>
      <c r="J11" s="191"/>
    </row>
    <row r="12" spans="1:10" ht="15">
      <c r="A12" s="162" t="s">
        <v>51</v>
      </c>
      <c r="B12" s="162"/>
      <c r="C12" s="162"/>
      <c r="D12" s="162"/>
      <c r="E12" s="162"/>
      <c r="F12" s="162"/>
      <c r="G12" s="162"/>
      <c r="H12" s="166" t="str">
        <f>IF(Sheet1!V34&gt;150000,"150000",Sheet1!V34)</f>
        <v>150000</v>
      </c>
      <c r="I12" s="166"/>
      <c r="J12" s="166"/>
    </row>
    <row r="13" spans="1:10" ht="15">
      <c r="A13" s="163" t="s">
        <v>52</v>
      </c>
      <c r="B13" s="163"/>
      <c r="C13" s="163"/>
      <c r="D13" s="163"/>
      <c r="E13" s="163"/>
      <c r="F13" s="163"/>
      <c r="G13" s="163"/>
      <c r="H13" s="191">
        <f>H11-H12</f>
        <v>363412</v>
      </c>
      <c r="I13" s="191"/>
      <c r="J13" s="191"/>
    </row>
    <row r="14" spans="1:10" ht="15">
      <c r="A14" s="48">
        <v>1</v>
      </c>
      <c r="B14" s="188" t="s">
        <v>53</v>
      </c>
      <c r="C14" s="188"/>
      <c r="D14" s="188"/>
      <c r="E14" s="188"/>
      <c r="F14" s="21" t="s">
        <v>54</v>
      </c>
      <c r="G14" s="21" t="s">
        <v>55</v>
      </c>
      <c r="H14" s="170">
        <f>G15+G16+G17+G19+G20+G21+G22+G23</f>
        <v>0</v>
      </c>
      <c r="I14" s="171"/>
      <c r="J14" s="172"/>
    </row>
    <row r="15" spans="1:10" ht="15">
      <c r="A15" s="48">
        <v>2</v>
      </c>
      <c r="B15" s="162" t="s">
        <v>56</v>
      </c>
      <c r="C15" s="162"/>
      <c r="D15" s="162"/>
      <c r="E15" s="162"/>
      <c r="F15" s="29">
        <f>FACE!E38</f>
        <v>0</v>
      </c>
      <c r="G15" s="28">
        <f>IF(F15&gt;15000,"15000",F15)</f>
        <v>0</v>
      </c>
      <c r="H15" s="173"/>
      <c r="I15" s="174"/>
      <c r="J15" s="175"/>
    </row>
    <row r="16" spans="1:10" ht="15">
      <c r="A16" s="48">
        <v>3</v>
      </c>
      <c r="B16" s="162" t="s">
        <v>57</v>
      </c>
      <c r="C16" s="162"/>
      <c r="D16" s="162"/>
      <c r="E16" s="162"/>
      <c r="F16" s="29">
        <f>FACE!E39</f>
        <v>0</v>
      </c>
      <c r="G16" s="28">
        <f>IF(F16&gt;50000,"50000",F16)</f>
        <v>0</v>
      </c>
      <c r="H16" s="173"/>
      <c r="I16" s="174"/>
      <c r="J16" s="175"/>
    </row>
    <row r="17" spans="1:10" ht="15">
      <c r="A17" s="48">
        <v>4</v>
      </c>
      <c r="B17" s="162" t="s">
        <v>58</v>
      </c>
      <c r="C17" s="162"/>
      <c r="D17" s="162"/>
      <c r="E17" s="162"/>
      <c r="F17" s="29">
        <f>FACE!E40</f>
        <v>0</v>
      </c>
      <c r="G17" s="28">
        <f>IF(F17&gt;40000,"40000",F17)</f>
        <v>0</v>
      </c>
      <c r="H17" s="173"/>
      <c r="I17" s="174"/>
      <c r="J17" s="175"/>
    </row>
    <row r="18" spans="1:10" ht="15">
      <c r="A18" s="48">
        <v>5</v>
      </c>
      <c r="B18" s="162" t="s">
        <v>140</v>
      </c>
      <c r="C18" s="162"/>
      <c r="D18" s="162"/>
      <c r="E18" s="162"/>
      <c r="F18" s="29">
        <f>FACE!E41</f>
        <v>0</v>
      </c>
      <c r="G18" s="47">
        <f>IF(F18&gt;10000,"10000",F18)</f>
        <v>0</v>
      </c>
      <c r="H18" s="173"/>
      <c r="I18" s="174"/>
      <c r="J18" s="175"/>
    </row>
    <row r="19" spans="1:10" ht="15">
      <c r="A19" s="48">
        <v>6</v>
      </c>
      <c r="B19" s="162" t="s">
        <v>59</v>
      </c>
      <c r="C19" s="162"/>
      <c r="D19" s="162"/>
      <c r="E19" s="162"/>
      <c r="F19" s="29">
        <f>FACE!E42</f>
        <v>0</v>
      </c>
      <c r="G19" s="28">
        <f>F19/2</f>
        <v>0</v>
      </c>
      <c r="H19" s="173"/>
      <c r="I19" s="174"/>
      <c r="J19" s="175"/>
    </row>
    <row r="20" spans="1:10" ht="15">
      <c r="A20" s="48">
        <v>7</v>
      </c>
      <c r="B20" s="162" t="s">
        <v>122</v>
      </c>
      <c r="C20" s="162"/>
      <c r="D20" s="162"/>
      <c r="E20" s="162"/>
      <c r="F20" s="29">
        <f>FACE!E43</f>
        <v>0</v>
      </c>
      <c r="G20" s="30">
        <f>F20</f>
        <v>0</v>
      </c>
      <c r="H20" s="173"/>
      <c r="I20" s="174"/>
      <c r="J20" s="175"/>
    </row>
    <row r="21" spans="1:10" ht="15">
      <c r="A21" s="48">
        <v>8</v>
      </c>
      <c r="B21" s="153" t="s">
        <v>167</v>
      </c>
      <c r="C21" s="154"/>
      <c r="D21" s="154"/>
      <c r="E21" s="155"/>
      <c r="F21" s="29">
        <f>FACE!E44</f>
        <v>0</v>
      </c>
      <c r="G21" s="28">
        <f>IF(F21&gt;75000,"75000",F21)</f>
        <v>0</v>
      </c>
      <c r="H21" s="173"/>
      <c r="I21" s="174"/>
      <c r="J21" s="175"/>
    </row>
    <row r="22" spans="1:10" ht="15">
      <c r="A22" s="48">
        <v>9</v>
      </c>
      <c r="B22" s="162" t="s">
        <v>60</v>
      </c>
      <c r="C22" s="162"/>
      <c r="D22" s="162"/>
      <c r="E22" s="162"/>
      <c r="F22" s="29">
        <f>FACE!E45</f>
        <v>0</v>
      </c>
      <c r="G22" s="21">
        <f>F22</f>
        <v>0</v>
      </c>
      <c r="H22" s="173"/>
      <c r="I22" s="174"/>
      <c r="J22" s="175"/>
    </row>
    <row r="23" spans="1:10" ht="15">
      <c r="A23" s="167"/>
      <c r="B23" s="168"/>
      <c r="C23" s="168"/>
      <c r="D23" s="168"/>
      <c r="E23" s="169"/>
      <c r="F23" s="29"/>
      <c r="G23" s="21"/>
      <c r="H23" s="176"/>
      <c r="I23" s="177"/>
      <c r="J23" s="178"/>
    </row>
    <row r="24" spans="1:10" ht="15">
      <c r="A24" s="163" t="s">
        <v>61</v>
      </c>
      <c r="B24" s="163"/>
      <c r="C24" s="163"/>
      <c r="D24" s="163"/>
      <c r="E24" s="163"/>
      <c r="F24" s="163"/>
      <c r="G24" s="163"/>
      <c r="H24" s="191">
        <f>H13-H14</f>
        <v>363412</v>
      </c>
      <c r="I24" s="164"/>
      <c r="J24" s="164"/>
    </row>
    <row r="25" spans="1:10" ht="15">
      <c r="A25" s="164" t="s">
        <v>62</v>
      </c>
      <c r="B25" s="164"/>
      <c r="C25" s="164"/>
      <c r="D25" s="164"/>
      <c r="E25" s="164"/>
      <c r="F25" s="164"/>
      <c r="G25" s="164"/>
      <c r="H25" s="191">
        <f>ROUND(H24,-1)</f>
        <v>363410</v>
      </c>
      <c r="I25" s="164"/>
      <c r="J25" s="164"/>
    </row>
    <row r="26" spans="1:10" ht="15">
      <c r="A26" s="163" t="s">
        <v>63</v>
      </c>
      <c r="B26" s="163"/>
      <c r="C26" s="163"/>
      <c r="D26" s="163"/>
      <c r="E26" s="163"/>
      <c r="F26" s="163"/>
      <c r="G26" s="163"/>
      <c r="H26" s="164">
        <f>H48</f>
        <v>5671</v>
      </c>
      <c r="I26" s="164"/>
      <c r="J26" s="164"/>
    </row>
    <row r="27" spans="1:10" ht="15">
      <c r="A27" s="153" t="s">
        <v>127</v>
      </c>
      <c r="B27" s="154"/>
      <c r="C27" s="154"/>
      <c r="D27" s="154"/>
      <c r="E27" s="154"/>
      <c r="F27" s="154"/>
      <c r="G27" s="155"/>
      <c r="H27" s="156">
        <f>IF(H24&lt;350001,2500,0)</f>
        <v>0</v>
      </c>
      <c r="I27" s="157"/>
      <c r="J27" s="158"/>
    </row>
    <row r="28" spans="1:10" ht="15">
      <c r="A28" s="162" t="s">
        <v>64</v>
      </c>
      <c r="B28" s="162"/>
      <c r="C28" s="162"/>
      <c r="D28" s="162"/>
      <c r="E28" s="162"/>
      <c r="F28" s="179">
        <f>IF(H26&lt;2501,0,(H26-H27))</f>
        <v>5671</v>
      </c>
      <c r="G28" s="179"/>
      <c r="H28" s="159"/>
      <c r="I28" s="160"/>
      <c r="J28" s="161"/>
    </row>
    <row r="29" spans="1:10" ht="15">
      <c r="A29" s="162" t="s">
        <v>65</v>
      </c>
      <c r="B29" s="162"/>
      <c r="C29" s="162"/>
      <c r="D29" s="162"/>
      <c r="E29" s="162"/>
      <c r="F29" s="179">
        <f>ROUND(F28/100*2,0)</f>
        <v>113</v>
      </c>
      <c r="G29" s="179"/>
      <c r="H29" s="192"/>
      <c r="I29" s="193"/>
      <c r="J29" s="194"/>
    </row>
    <row r="30" spans="1:10" ht="15">
      <c r="A30" s="162" t="s">
        <v>161</v>
      </c>
      <c r="B30" s="162"/>
      <c r="C30" s="162"/>
      <c r="D30" s="162"/>
      <c r="E30" s="162"/>
      <c r="F30" s="179">
        <f>ROUND(F28/100*2,0)</f>
        <v>113</v>
      </c>
      <c r="G30" s="179"/>
      <c r="H30" s="195"/>
      <c r="I30" s="196"/>
      <c r="J30" s="197"/>
    </row>
    <row r="31" spans="6:10" ht="15">
      <c r="F31" s="189"/>
      <c r="G31" s="189"/>
      <c r="H31" s="189"/>
      <c r="I31" s="189"/>
      <c r="J31" s="189"/>
    </row>
    <row r="32" spans="1:10" ht="15">
      <c r="A32" s="199" t="s">
        <v>66</v>
      </c>
      <c r="B32" s="199"/>
      <c r="C32" s="199"/>
      <c r="D32" s="199"/>
      <c r="E32" s="199"/>
      <c r="F32" s="199"/>
      <c r="G32" s="199"/>
      <c r="H32" s="198">
        <f>F28+F29+F30</f>
        <v>5897</v>
      </c>
      <c r="I32" s="198"/>
      <c r="J32" s="198"/>
    </row>
    <row r="33" spans="1:10" ht="15">
      <c r="A33" s="162" t="s">
        <v>67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ht="36" customHeight="1">
      <c r="A34" s="200" t="s">
        <v>68</v>
      </c>
      <c r="B34" s="200"/>
      <c r="C34" s="31" t="s">
        <v>131</v>
      </c>
      <c r="D34" s="32">
        <v>43070</v>
      </c>
      <c r="E34" s="32">
        <v>43101</v>
      </c>
      <c r="F34" s="32">
        <v>43132</v>
      </c>
      <c r="G34" s="33" t="s">
        <v>69</v>
      </c>
      <c r="H34" s="33" t="s">
        <v>156</v>
      </c>
      <c r="I34" s="201" t="s">
        <v>70</v>
      </c>
      <c r="J34" s="201"/>
    </row>
    <row r="35" spans="1:10" ht="15">
      <c r="A35" s="202"/>
      <c r="B35" s="202"/>
      <c r="C35" s="189">
        <f>SUM(Sheet1!T4:T12)</f>
        <v>0</v>
      </c>
      <c r="D35" s="189">
        <f>Sheet1!T13</f>
        <v>0</v>
      </c>
      <c r="E35" s="189">
        <f>Sheet1!T14</f>
        <v>0</v>
      </c>
      <c r="F35" s="189">
        <f>Sheet1!T15</f>
        <v>0</v>
      </c>
      <c r="G35" s="189">
        <v>0</v>
      </c>
      <c r="H35" s="189">
        <f>SUM(Sheet1!T16:T24)</f>
        <v>0</v>
      </c>
      <c r="I35" s="189">
        <f>C35+D35+E35+F35+G35+H35</f>
        <v>0</v>
      </c>
      <c r="J35" s="189"/>
    </row>
    <row r="36" spans="1:10" ht="3" customHeight="1">
      <c r="A36" s="202"/>
      <c r="B36" s="202"/>
      <c r="C36" s="189"/>
      <c r="D36" s="189"/>
      <c r="E36" s="189"/>
      <c r="F36" s="189"/>
      <c r="G36" s="189"/>
      <c r="H36" s="189"/>
      <c r="I36" s="189"/>
      <c r="J36" s="189"/>
    </row>
    <row r="37" spans="1:10" ht="8.25" customHeight="1" hidden="1">
      <c r="A37" s="202"/>
      <c r="B37" s="202"/>
      <c r="C37" s="189"/>
      <c r="D37" s="189"/>
      <c r="E37" s="189"/>
      <c r="F37" s="189"/>
      <c r="G37" s="189"/>
      <c r="H37" s="189"/>
      <c r="I37" s="189"/>
      <c r="J37" s="189"/>
    </row>
    <row r="38" spans="1:10" ht="7.5" customHeight="1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10" ht="15">
      <c r="A39" s="198" t="s">
        <v>71</v>
      </c>
      <c r="B39" s="198"/>
      <c r="C39" s="198"/>
      <c r="D39" s="198"/>
      <c r="E39" s="198"/>
      <c r="F39" s="198"/>
      <c r="G39" s="198"/>
      <c r="H39" s="198"/>
      <c r="I39" s="198">
        <f>H32-I35</f>
        <v>5897</v>
      </c>
      <c r="J39" s="198"/>
    </row>
    <row r="40" spans="1:10" ht="5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</row>
    <row r="41" spans="1:10" ht="15" hidden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</row>
    <row r="42" spans="1:10" ht="15" hidden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</row>
    <row r="43" spans="1:10" ht="15">
      <c r="A43" s="203" t="s">
        <v>72</v>
      </c>
      <c r="B43" s="203"/>
      <c r="C43" s="203"/>
      <c r="D43" s="203"/>
      <c r="E43" s="203"/>
      <c r="F43" s="34">
        <f>H25</f>
        <v>363410</v>
      </c>
      <c r="G43" s="34" t="s">
        <v>73</v>
      </c>
      <c r="H43" s="34" t="s">
        <v>74</v>
      </c>
      <c r="I43" s="189"/>
      <c r="J43" s="189"/>
    </row>
    <row r="44" spans="1:10" ht="15">
      <c r="A44" s="189" t="s">
        <v>112</v>
      </c>
      <c r="B44" s="189"/>
      <c r="C44" s="189"/>
      <c r="D44" s="189"/>
      <c r="E44" s="189"/>
      <c r="F44" s="21">
        <v>0</v>
      </c>
      <c r="G44" s="28" t="str">
        <f>IF(F43&gt;250000,"250000",H25)</f>
        <v>250000</v>
      </c>
      <c r="H44" s="30">
        <v>0</v>
      </c>
      <c r="I44" s="189"/>
      <c r="J44" s="189"/>
    </row>
    <row r="45" spans="1:10" ht="15">
      <c r="A45" s="189" t="s">
        <v>113</v>
      </c>
      <c r="B45" s="189"/>
      <c r="C45" s="189"/>
      <c r="D45" s="189"/>
      <c r="E45" s="189"/>
      <c r="F45" s="35">
        <v>0.05</v>
      </c>
      <c r="G45" s="28">
        <f>IF(F43&gt;500000,250000,IF(F43&gt;250000,F43-250000,"0"))</f>
        <v>113410</v>
      </c>
      <c r="H45" s="30">
        <f>G45*F45</f>
        <v>5670.5</v>
      </c>
      <c r="I45" s="189"/>
      <c r="J45" s="189"/>
    </row>
    <row r="46" spans="1:10" ht="15">
      <c r="A46" s="189" t="s">
        <v>114</v>
      </c>
      <c r="B46" s="189"/>
      <c r="C46" s="189"/>
      <c r="D46" s="189"/>
      <c r="E46" s="189"/>
      <c r="F46" s="35">
        <v>0.2</v>
      </c>
      <c r="G46" s="28" t="str">
        <f>IF(F43&gt;1000000,500000,IF(F43&gt;500000,F43-500000,"0"))</f>
        <v>0</v>
      </c>
      <c r="H46" s="21">
        <f>G46*F46</f>
        <v>0</v>
      </c>
      <c r="I46" s="189"/>
      <c r="J46" s="189"/>
    </row>
    <row r="47" spans="1:10" ht="15">
      <c r="A47" s="189" t="s">
        <v>115</v>
      </c>
      <c r="B47" s="189"/>
      <c r="C47" s="189"/>
      <c r="D47" s="189"/>
      <c r="E47" s="189"/>
      <c r="F47" s="35">
        <v>0.3</v>
      </c>
      <c r="G47" s="28" t="str">
        <f>IF(F43&gt;1000000,F43-1000000,"0")</f>
        <v>0</v>
      </c>
      <c r="H47" s="21">
        <f>ROUND(G47/100*30,0)</f>
        <v>0</v>
      </c>
      <c r="I47" s="189"/>
      <c r="J47" s="189"/>
    </row>
    <row r="48" spans="1:10" ht="15">
      <c r="A48" s="198" t="s">
        <v>12</v>
      </c>
      <c r="B48" s="198"/>
      <c r="C48" s="198"/>
      <c r="D48" s="198"/>
      <c r="E48" s="198"/>
      <c r="F48" s="36"/>
      <c r="G48" s="37">
        <f>G44+G45+G46+G47</f>
        <v>363410</v>
      </c>
      <c r="H48" s="38">
        <f>ROUND(SUM(H44:H47),0)</f>
        <v>5671</v>
      </c>
      <c r="I48" s="189"/>
      <c r="J48" s="189"/>
    </row>
    <row r="49" spans="1:10" ht="15">
      <c r="A49" s="39"/>
      <c r="B49" s="40"/>
      <c r="C49" s="40"/>
      <c r="D49" s="40"/>
      <c r="E49" s="40"/>
      <c r="F49" s="40"/>
      <c r="G49" s="40"/>
      <c r="H49" s="40"/>
      <c r="I49" s="40"/>
      <c r="J49" s="41"/>
    </row>
    <row r="50" spans="1:10" ht="27.7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</row>
    <row r="51" spans="1:10" ht="27" customHeight="1">
      <c r="A51" s="189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5.75" customHeight="1">
      <c r="A52" s="189" t="s">
        <v>75</v>
      </c>
      <c r="B52" s="189"/>
      <c r="C52" s="189"/>
      <c r="D52" s="189"/>
      <c r="E52" s="189"/>
      <c r="F52" s="189"/>
      <c r="G52" s="189" t="s">
        <v>76</v>
      </c>
      <c r="H52" s="189"/>
      <c r="I52" s="189"/>
      <c r="J52" s="189"/>
    </row>
  </sheetData>
  <sheetProtection password="C751" sheet="1"/>
  <mergeCells count="89">
    <mergeCell ref="A50:D51"/>
    <mergeCell ref="E50:F52"/>
    <mergeCell ref="G50:J51"/>
    <mergeCell ref="A52:D52"/>
    <mergeCell ref="G52:J52"/>
    <mergeCell ref="A40:J42"/>
    <mergeCell ref="A43:E43"/>
    <mergeCell ref="I43:J48"/>
    <mergeCell ref="A44:E44"/>
    <mergeCell ref="A45:E45"/>
    <mergeCell ref="A46:E46"/>
    <mergeCell ref="A47:E47"/>
    <mergeCell ref="A48:E48"/>
    <mergeCell ref="G35:G37"/>
    <mergeCell ref="A35:B37"/>
    <mergeCell ref="C35:C37"/>
    <mergeCell ref="D35:D37"/>
    <mergeCell ref="E35:E37"/>
    <mergeCell ref="F35:F37"/>
    <mergeCell ref="H35:H37"/>
    <mergeCell ref="I35:J37"/>
    <mergeCell ref="A38:J38"/>
    <mergeCell ref="A39:H39"/>
    <mergeCell ref="I39:J39"/>
    <mergeCell ref="H31:J31"/>
    <mergeCell ref="A32:G32"/>
    <mergeCell ref="H32:J32"/>
    <mergeCell ref="A34:B34"/>
    <mergeCell ref="I34:J34"/>
    <mergeCell ref="A33:J33"/>
    <mergeCell ref="A28:E28"/>
    <mergeCell ref="F28:G28"/>
    <mergeCell ref="A29:E29"/>
    <mergeCell ref="F29:G29"/>
    <mergeCell ref="A30:E30"/>
    <mergeCell ref="F30:G30"/>
    <mergeCell ref="F31:G31"/>
    <mergeCell ref="H29:J30"/>
    <mergeCell ref="B14:E14"/>
    <mergeCell ref="B15:E15"/>
    <mergeCell ref="B22:E22"/>
    <mergeCell ref="A24:G24"/>
    <mergeCell ref="H24:J24"/>
    <mergeCell ref="A25:G25"/>
    <mergeCell ref="H25:J25"/>
    <mergeCell ref="B18:E18"/>
    <mergeCell ref="A11:G11"/>
    <mergeCell ref="H11:J11"/>
    <mergeCell ref="A12:G12"/>
    <mergeCell ref="H12:J12"/>
    <mergeCell ref="A13:G13"/>
    <mergeCell ref="H13:J13"/>
    <mergeCell ref="B8:C8"/>
    <mergeCell ref="E8:F8"/>
    <mergeCell ref="H8:J8"/>
    <mergeCell ref="A9:G9"/>
    <mergeCell ref="H9:J9"/>
    <mergeCell ref="A10:G10"/>
    <mergeCell ref="H10:J10"/>
    <mergeCell ref="A1:B1"/>
    <mergeCell ref="C1:D1"/>
    <mergeCell ref="F1:G1"/>
    <mergeCell ref="H1:J1"/>
    <mergeCell ref="A4:G4"/>
    <mergeCell ref="H4:J4"/>
    <mergeCell ref="A2:C2"/>
    <mergeCell ref="D2:G2"/>
    <mergeCell ref="H2:J2"/>
    <mergeCell ref="A3:G3"/>
    <mergeCell ref="H3:J3"/>
    <mergeCell ref="A5:G5"/>
    <mergeCell ref="H5:J5"/>
    <mergeCell ref="A6:G6"/>
    <mergeCell ref="H6:J6"/>
    <mergeCell ref="A23:E23"/>
    <mergeCell ref="H14:J23"/>
    <mergeCell ref="A7:D7"/>
    <mergeCell ref="E7:G7"/>
    <mergeCell ref="H7:J7"/>
    <mergeCell ref="A27:G27"/>
    <mergeCell ref="H27:J27"/>
    <mergeCell ref="H28:J28"/>
    <mergeCell ref="B16:E16"/>
    <mergeCell ref="B17:E17"/>
    <mergeCell ref="B19:E19"/>
    <mergeCell ref="B20:E20"/>
    <mergeCell ref="B21:E21"/>
    <mergeCell ref="A26:G26"/>
    <mergeCell ref="H26:J26"/>
  </mergeCells>
  <hyperlinks>
    <hyperlink ref="A4:G4" location="Sheet1!A1" display="2.TOTAL INCOME (AS PER PREVIOUS PAGE)"/>
    <hyperlink ref="H4:J4" location="Sheet1!A1" display="Sheet1!A1"/>
  </hyperlinks>
  <printOptions/>
  <pageMargins left="0.95" right="0.7" top="0.5" bottom="0.75" header="0.3" footer="0.3"/>
  <pageSetup horizontalDpi="300" verticalDpi="300" orientation="portrait" paperSize="9" r:id="rId3"/>
  <headerFooter>
    <oddHeader>&amp;C
&amp;Rprepared by  HP Soni</oddHeader>
  </headerFooter>
  <ignoredErrors>
    <ignoredError sqref="G2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view="pageLayout" zoomScale="115" zoomScalePageLayoutView="115" workbookViewId="0" topLeftCell="A1">
      <selection activeCell="E16" sqref="E16"/>
    </sheetView>
  </sheetViews>
  <sheetFormatPr defaultColWidth="9.140625" defaultRowHeight="15"/>
  <cols>
    <col min="1" max="1" width="5.28125" style="3" customWidth="1"/>
    <col min="2" max="2" width="9.140625" style="3" customWidth="1"/>
    <col min="3" max="3" width="5.8515625" style="3" customWidth="1"/>
    <col min="4" max="4" width="6.00390625" style="3" customWidth="1"/>
    <col min="5" max="5" width="6.28125" style="3" customWidth="1"/>
    <col min="6" max="6" width="5.140625" style="3" customWidth="1"/>
    <col min="7" max="7" width="5.28125" style="3" customWidth="1"/>
    <col min="8" max="8" width="4.28125" style="3" customWidth="1"/>
    <col min="9" max="9" width="4.421875" style="3" customWidth="1"/>
    <col min="10" max="10" width="6.8515625" style="3" customWidth="1"/>
    <col min="11" max="11" width="7.00390625" style="3" customWidth="1"/>
    <col min="12" max="12" width="5.7109375" style="3" customWidth="1"/>
    <col min="13" max="13" width="4.7109375" style="3" customWidth="1"/>
    <col min="14" max="15" width="5.7109375" style="3" customWidth="1"/>
    <col min="16" max="16" width="4.8515625" style="3" customWidth="1"/>
    <col min="17" max="18" width="4.7109375" style="3" customWidth="1"/>
    <col min="19" max="19" width="5.7109375" style="3" customWidth="1"/>
    <col min="20" max="20" width="6.28125" style="3" customWidth="1"/>
    <col min="21" max="21" width="6.8515625" style="3" customWidth="1"/>
    <col min="22" max="23" width="7.140625" style="3" customWidth="1"/>
    <col min="24" max="24" width="4.28125" style="3" customWidth="1"/>
    <col min="25" max="16384" width="9.140625" style="3" customWidth="1"/>
  </cols>
  <sheetData>
    <row r="1" spans="1:27" ht="15.75" thickBot="1">
      <c r="A1" s="216" t="s">
        <v>0</v>
      </c>
      <c r="B1" s="217"/>
      <c r="C1" s="218"/>
      <c r="D1" s="206" t="str">
        <f>FACE!B2</f>
        <v>Manohar Nain</v>
      </c>
      <c r="E1" s="207"/>
      <c r="F1" s="207"/>
      <c r="G1" s="207"/>
      <c r="H1" s="207"/>
      <c r="I1" s="219"/>
      <c r="J1" s="220" t="s">
        <v>1</v>
      </c>
      <c r="K1" s="221"/>
      <c r="L1" s="206">
        <f>FACE!B5</f>
        <v>0</v>
      </c>
      <c r="M1" s="207"/>
      <c r="N1" s="207"/>
      <c r="O1" s="207"/>
      <c r="P1" s="207"/>
      <c r="Q1" s="207"/>
      <c r="R1" s="274" t="s">
        <v>97</v>
      </c>
      <c r="S1" s="275"/>
      <c r="T1" s="276" t="str">
        <f>FACE!B21</f>
        <v>2018-19</v>
      </c>
      <c r="U1" s="276"/>
      <c r="V1" s="49" t="s">
        <v>98</v>
      </c>
      <c r="W1" s="1" t="str">
        <f>FACE!B20</f>
        <v>2019-20</v>
      </c>
      <c r="X1" s="2"/>
      <c r="Y1" s="2"/>
      <c r="Z1" s="2"/>
      <c r="AA1" s="2"/>
    </row>
    <row r="2" spans="1:27" ht="15" customHeight="1">
      <c r="A2" s="208" t="s">
        <v>2</v>
      </c>
      <c r="B2" s="208" t="s">
        <v>3</v>
      </c>
      <c r="C2" s="210" t="s">
        <v>109</v>
      </c>
      <c r="D2" s="210"/>
      <c r="E2" s="210"/>
      <c r="F2" s="210"/>
      <c r="G2" s="210"/>
      <c r="H2" s="210"/>
      <c r="I2" s="210"/>
      <c r="J2" s="211"/>
      <c r="K2" s="211" t="s">
        <v>87</v>
      </c>
      <c r="L2" s="210"/>
      <c r="M2" s="210"/>
      <c r="N2" s="210"/>
      <c r="O2" s="210"/>
      <c r="P2" s="210"/>
      <c r="Q2" s="210"/>
      <c r="R2" s="211"/>
      <c r="S2" s="211"/>
      <c r="T2" s="211"/>
      <c r="U2" s="211"/>
      <c r="V2" s="222" t="s">
        <v>4</v>
      </c>
      <c r="W2" s="224" t="s">
        <v>5</v>
      </c>
      <c r="X2" s="4"/>
      <c r="Y2" s="5" t="s">
        <v>6</v>
      </c>
      <c r="Z2" s="2"/>
      <c r="AA2" s="2"/>
    </row>
    <row r="3" spans="1:27" s="14" customFormat="1" ht="30" customHeight="1">
      <c r="A3" s="209"/>
      <c r="B3" s="209"/>
      <c r="C3" s="6" t="s">
        <v>7</v>
      </c>
      <c r="D3" s="6" t="s">
        <v>8</v>
      </c>
      <c r="E3" s="6" t="s">
        <v>9</v>
      </c>
      <c r="F3" s="7" t="s">
        <v>10</v>
      </c>
      <c r="G3" s="130" t="s">
        <v>11</v>
      </c>
      <c r="H3" s="130" t="s">
        <v>11</v>
      </c>
      <c r="I3" s="130" t="s">
        <v>11</v>
      </c>
      <c r="J3" s="6" t="s">
        <v>12</v>
      </c>
      <c r="K3" s="8" t="s">
        <v>163</v>
      </c>
      <c r="L3" s="6" t="s">
        <v>13</v>
      </c>
      <c r="M3" s="6" t="s">
        <v>14</v>
      </c>
      <c r="N3" s="6" t="s">
        <v>15</v>
      </c>
      <c r="O3" s="9" t="s">
        <v>16</v>
      </c>
      <c r="P3" s="10" t="s">
        <v>78</v>
      </c>
      <c r="Q3" s="9" t="s">
        <v>90</v>
      </c>
      <c r="R3" s="10" t="s">
        <v>17</v>
      </c>
      <c r="S3" s="7" t="s">
        <v>11</v>
      </c>
      <c r="T3" s="10" t="s">
        <v>18</v>
      </c>
      <c r="U3" s="6" t="s">
        <v>12</v>
      </c>
      <c r="V3" s="223"/>
      <c r="W3" s="225"/>
      <c r="X3" s="11"/>
      <c r="Y3" s="12"/>
      <c r="Z3" s="13"/>
      <c r="AA3" s="13"/>
    </row>
    <row r="4" spans="1:25" ht="15">
      <c r="A4" s="15">
        <v>1</v>
      </c>
      <c r="B4" s="16">
        <v>42795</v>
      </c>
      <c r="C4" s="17">
        <f>FACE!B6</f>
        <v>36900</v>
      </c>
      <c r="D4" s="15">
        <f>ROUND(C4*FACE!O4,0)</f>
        <v>2583</v>
      </c>
      <c r="E4" s="15">
        <f>ROUND(C4*FACE!$B$14,0)</f>
        <v>2952</v>
      </c>
      <c r="F4" s="15">
        <v>0</v>
      </c>
      <c r="G4" s="149">
        <v>0</v>
      </c>
      <c r="H4" s="150">
        <v>0</v>
      </c>
      <c r="I4" s="150">
        <v>0</v>
      </c>
      <c r="J4" s="15">
        <f>C4+D4+E4+F4+G4+H4+I4</f>
        <v>42435</v>
      </c>
      <c r="K4" s="17">
        <f>FACE!H4</f>
        <v>3948</v>
      </c>
      <c r="L4" s="17">
        <f>FACE!I4</f>
        <v>3000</v>
      </c>
      <c r="M4" s="17">
        <f>FACE!K4</f>
        <v>1500</v>
      </c>
      <c r="N4" s="15">
        <f>FACE!J4</f>
        <v>0</v>
      </c>
      <c r="O4" s="15">
        <f>FACE!N4</f>
        <v>0</v>
      </c>
      <c r="P4" s="17">
        <f>FACE!M4</f>
        <v>0</v>
      </c>
      <c r="Q4" s="18">
        <f>FACE!L4</f>
        <v>0</v>
      </c>
      <c r="R4" s="15">
        <v>0</v>
      </c>
      <c r="S4" s="15">
        <f>FACE!R4</f>
        <v>0</v>
      </c>
      <c r="T4" s="150">
        <f>FACE!Q4</f>
        <v>0</v>
      </c>
      <c r="U4" s="15">
        <f aca="true" t="shared" si="0" ref="U4:U17">K4+L4+M4+N4+O4+P4+Q4+R4+S4+T4</f>
        <v>8448</v>
      </c>
      <c r="V4" s="106">
        <f aca="true" t="shared" si="1" ref="V4:V24">J4-U4</f>
        <v>33987</v>
      </c>
      <c r="W4" s="19"/>
      <c r="X4" s="2"/>
      <c r="Y4" s="5"/>
    </row>
    <row r="5" spans="1:25" ht="15">
      <c r="A5" s="15">
        <v>2</v>
      </c>
      <c r="B5" s="16">
        <f>EDATE(B4,1)</f>
        <v>42826</v>
      </c>
      <c r="C5" s="17">
        <f>C4</f>
        <v>36900</v>
      </c>
      <c r="D5" s="15">
        <f>ROUND(C5*FACE!O5,0)</f>
        <v>2583</v>
      </c>
      <c r="E5" s="15">
        <f>ROUND(C5*FACE!$B$14,0)</f>
        <v>2952</v>
      </c>
      <c r="F5" s="15">
        <v>0</v>
      </c>
      <c r="G5" s="149">
        <v>0</v>
      </c>
      <c r="H5" s="150">
        <v>0</v>
      </c>
      <c r="I5" s="150">
        <v>0</v>
      </c>
      <c r="J5" s="15">
        <f aca="true" t="shared" si="2" ref="J5:J19">C5+D5+E5+F5+G5+H5+I5</f>
        <v>42435</v>
      </c>
      <c r="K5" s="17">
        <f>FACE!H5</f>
        <v>3948</v>
      </c>
      <c r="L5" s="17">
        <f>FACE!I5</f>
        <v>3000</v>
      </c>
      <c r="M5" s="17">
        <f>FACE!K5</f>
        <v>1500</v>
      </c>
      <c r="N5" s="15">
        <f>FACE!J5</f>
        <v>0</v>
      </c>
      <c r="O5" s="15">
        <f>FACE!N5</f>
        <v>0</v>
      </c>
      <c r="P5" s="17">
        <f>FACE!M5</f>
        <v>0</v>
      </c>
      <c r="Q5" s="18">
        <f>FACE!L5</f>
        <v>0</v>
      </c>
      <c r="R5" s="17">
        <f>FACE!B16</f>
        <v>220</v>
      </c>
      <c r="S5" s="15">
        <f>FACE!R5</f>
        <v>0</v>
      </c>
      <c r="T5" s="150">
        <f>FACE!Q5</f>
        <v>0</v>
      </c>
      <c r="U5" s="15">
        <f t="shared" si="0"/>
        <v>8668</v>
      </c>
      <c r="V5" s="106">
        <f t="shared" si="1"/>
        <v>33767</v>
      </c>
      <c r="W5" s="19"/>
      <c r="X5" s="2"/>
      <c r="Y5" s="5"/>
    </row>
    <row r="6" spans="1:25" ht="15">
      <c r="A6" s="15">
        <v>3</v>
      </c>
      <c r="B6" s="16">
        <f aca="true" t="shared" si="3" ref="B6:B15">EDATE(B5,1)</f>
        <v>42856</v>
      </c>
      <c r="C6" s="17">
        <f>C5</f>
        <v>36900</v>
      </c>
      <c r="D6" s="15">
        <f>ROUND(C6*FACE!O6,0)</f>
        <v>2583</v>
      </c>
      <c r="E6" s="15">
        <f>ROUND(C6*FACE!$B$14,0)</f>
        <v>2952</v>
      </c>
      <c r="F6" s="15">
        <v>0</v>
      </c>
      <c r="G6" s="149">
        <v>0</v>
      </c>
      <c r="H6" s="150">
        <v>0</v>
      </c>
      <c r="I6" s="150">
        <v>0</v>
      </c>
      <c r="J6" s="15">
        <f t="shared" si="2"/>
        <v>42435</v>
      </c>
      <c r="K6" s="17">
        <f>FACE!H6</f>
        <v>3948</v>
      </c>
      <c r="L6" s="17">
        <f>FACE!I6</f>
        <v>3000</v>
      </c>
      <c r="M6" s="17">
        <f>FACE!K6</f>
        <v>1500</v>
      </c>
      <c r="N6" s="15">
        <f>FACE!J6</f>
        <v>0</v>
      </c>
      <c r="O6" s="15">
        <f>FACE!N6</f>
        <v>0</v>
      </c>
      <c r="P6" s="17">
        <f>FACE!M6</f>
        <v>0</v>
      </c>
      <c r="Q6" s="18">
        <f>FACE!L6</f>
        <v>0</v>
      </c>
      <c r="R6" s="15">
        <v>0</v>
      </c>
      <c r="S6" s="15">
        <f>FACE!R6</f>
        <v>0</v>
      </c>
      <c r="T6" s="150">
        <f>FACE!Q6</f>
        <v>0</v>
      </c>
      <c r="U6" s="15">
        <f t="shared" si="0"/>
        <v>8448</v>
      </c>
      <c r="V6" s="106">
        <f t="shared" si="1"/>
        <v>33987</v>
      </c>
      <c r="W6" s="19"/>
      <c r="X6" s="2"/>
      <c r="Y6" s="5"/>
    </row>
    <row r="7" spans="1:25" ht="15">
      <c r="A7" s="15">
        <v>4</v>
      </c>
      <c r="B7" s="16">
        <f t="shared" si="3"/>
        <v>42887</v>
      </c>
      <c r="C7" s="17">
        <f>C6</f>
        <v>36900</v>
      </c>
      <c r="D7" s="15">
        <f>ROUND(C7*FACE!O7,0)</f>
        <v>2583</v>
      </c>
      <c r="E7" s="15">
        <f>ROUND(C7*FACE!$B$14,0)</f>
        <v>2952</v>
      </c>
      <c r="F7" s="15">
        <v>0</v>
      </c>
      <c r="G7" s="149">
        <v>0</v>
      </c>
      <c r="H7" s="150">
        <v>0</v>
      </c>
      <c r="I7" s="150">
        <v>0</v>
      </c>
      <c r="J7" s="15">
        <f t="shared" si="2"/>
        <v>42435</v>
      </c>
      <c r="K7" s="17">
        <f>FACE!H7</f>
        <v>3948</v>
      </c>
      <c r="L7" s="17">
        <f>FACE!I7</f>
        <v>3000</v>
      </c>
      <c r="M7" s="17">
        <f>FACE!K7</f>
        <v>1500</v>
      </c>
      <c r="N7" s="15">
        <f>FACE!J7</f>
        <v>0</v>
      </c>
      <c r="O7" s="15">
        <f>FACE!N7</f>
        <v>0</v>
      </c>
      <c r="P7" s="17">
        <f>FACE!M7</f>
        <v>0</v>
      </c>
      <c r="Q7" s="18">
        <f>FACE!L7</f>
        <v>0</v>
      </c>
      <c r="R7" s="15">
        <v>0</v>
      </c>
      <c r="S7" s="15">
        <f>FACE!R7</f>
        <v>0</v>
      </c>
      <c r="T7" s="150">
        <f>FACE!Q7</f>
        <v>0</v>
      </c>
      <c r="U7" s="15">
        <f t="shared" si="0"/>
        <v>8448</v>
      </c>
      <c r="V7" s="106">
        <f t="shared" si="1"/>
        <v>33987</v>
      </c>
      <c r="W7" s="19"/>
      <c r="X7" s="2"/>
      <c r="Y7" s="5"/>
    </row>
    <row r="8" spans="1:25" ht="15">
      <c r="A8" s="15">
        <v>5</v>
      </c>
      <c r="B8" s="16">
        <f t="shared" si="3"/>
        <v>42917</v>
      </c>
      <c r="C8" s="17">
        <f>FACE!B7</f>
        <v>38000</v>
      </c>
      <c r="D8" s="15">
        <f>ROUND(C8*FACE!O8,0)</f>
        <v>2660</v>
      </c>
      <c r="E8" s="15">
        <f>ROUND(C8*FACE!$B$14,0)</f>
        <v>3040</v>
      </c>
      <c r="F8" s="15">
        <v>0</v>
      </c>
      <c r="G8" s="149">
        <v>0</v>
      </c>
      <c r="H8" s="150">
        <v>0</v>
      </c>
      <c r="I8" s="150">
        <v>0</v>
      </c>
      <c r="J8" s="15">
        <f t="shared" si="2"/>
        <v>43700</v>
      </c>
      <c r="K8" s="17">
        <f>FACE!H8</f>
        <v>4066</v>
      </c>
      <c r="L8" s="17">
        <f>FACE!I8</f>
        <v>3000</v>
      </c>
      <c r="M8" s="17">
        <f>FACE!K8</f>
        <v>1500</v>
      </c>
      <c r="N8" s="15">
        <f>FACE!J8</f>
        <v>0</v>
      </c>
      <c r="O8" s="15">
        <f>FACE!N8</f>
        <v>0</v>
      </c>
      <c r="P8" s="17">
        <f>FACE!M8</f>
        <v>0</v>
      </c>
      <c r="Q8" s="18">
        <f>FACE!L8</f>
        <v>0</v>
      </c>
      <c r="R8" s="15">
        <v>0</v>
      </c>
      <c r="S8" s="15">
        <f>FACE!R8</f>
        <v>0</v>
      </c>
      <c r="T8" s="150">
        <f>FACE!Q8</f>
        <v>0</v>
      </c>
      <c r="U8" s="15">
        <f t="shared" si="0"/>
        <v>8566</v>
      </c>
      <c r="V8" s="106">
        <f t="shared" si="1"/>
        <v>35134</v>
      </c>
      <c r="W8" s="19"/>
      <c r="X8" s="2"/>
      <c r="Y8" s="5"/>
    </row>
    <row r="9" spans="1:25" ht="15">
      <c r="A9" s="15">
        <v>6</v>
      </c>
      <c r="B9" s="16">
        <f t="shared" si="3"/>
        <v>42948</v>
      </c>
      <c r="C9" s="17">
        <f aca="true" t="shared" si="4" ref="C9:C15">C8</f>
        <v>38000</v>
      </c>
      <c r="D9" s="15">
        <f>ROUND(C9*FACE!O9,0)</f>
        <v>2660</v>
      </c>
      <c r="E9" s="15">
        <f>ROUND(C9*FACE!$B$14,0)</f>
        <v>3040</v>
      </c>
      <c r="F9" s="15">
        <v>0</v>
      </c>
      <c r="G9" s="149">
        <v>0</v>
      </c>
      <c r="H9" s="150">
        <v>0</v>
      </c>
      <c r="I9" s="150">
        <v>0</v>
      </c>
      <c r="J9" s="15">
        <f t="shared" si="2"/>
        <v>43700</v>
      </c>
      <c r="K9" s="17">
        <f>FACE!H9</f>
        <v>4066</v>
      </c>
      <c r="L9" s="17">
        <f>FACE!I9</f>
        <v>3000</v>
      </c>
      <c r="M9" s="17">
        <f>FACE!K9</f>
        <v>1500</v>
      </c>
      <c r="N9" s="15">
        <f>FACE!J9</f>
        <v>0</v>
      </c>
      <c r="O9" s="15">
        <f>FACE!N9</f>
        <v>0</v>
      </c>
      <c r="P9" s="17">
        <f>FACE!M9</f>
        <v>0</v>
      </c>
      <c r="Q9" s="18">
        <f>FACE!L9</f>
        <v>0</v>
      </c>
      <c r="R9" s="15">
        <v>0</v>
      </c>
      <c r="S9" s="15">
        <f>FACE!R9</f>
        <v>0</v>
      </c>
      <c r="T9" s="150">
        <f>FACE!Q9</f>
        <v>0</v>
      </c>
      <c r="U9" s="15">
        <f t="shared" si="0"/>
        <v>8566</v>
      </c>
      <c r="V9" s="106">
        <f t="shared" si="1"/>
        <v>35134</v>
      </c>
      <c r="W9" s="19"/>
      <c r="X9" s="2"/>
      <c r="Y9" s="5"/>
    </row>
    <row r="10" spans="1:25" ht="15">
      <c r="A10" s="15">
        <v>7</v>
      </c>
      <c r="B10" s="16">
        <f t="shared" si="3"/>
        <v>42979</v>
      </c>
      <c r="C10" s="17">
        <f t="shared" si="4"/>
        <v>38000</v>
      </c>
      <c r="D10" s="15">
        <f>ROUND(C10*FACE!O10,0)</f>
        <v>3420</v>
      </c>
      <c r="E10" s="15">
        <f>ROUND(C10*FACE!$B$14,0)</f>
        <v>3040</v>
      </c>
      <c r="F10" s="15">
        <v>0</v>
      </c>
      <c r="G10" s="149">
        <v>0</v>
      </c>
      <c r="H10" s="150">
        <v>0</v>
      </c>
      <c r="I10" s="150">
        <v>0</v>
      </c>
      <c r="J10" s="15">
        <f t="shared" si="2"/>
        <v>44460</v>
      </c>
      <c r="K10" s="17">
        <f>FACE!H10</f>
        <v>4142</v>
      </c>
      <c r="L10" s="17">
        <f>FACE!I10</f>
        <v>3000</v>
      </c>
      <c r="M10" s="17">
        <f>FACE!K10</f>
        <v>1500</v>
      </c>
      <c r="N10" s="15">
        <f>FACE!J10</f>
        <v>0</v>
      </c>
      <c r="O10" s="15">
        <f>FACE!N10</f>
        <v>0</v>
      </c>
      <c r="P10" s="17">
        <f>FACE!M10</f>
        <v>0</v>
      </c>
      <c r="Q10" s="18">
        <f>FACE!L10</f>
        <v>0</v>
      </c>
      <c r="R10" s="15">
        <v>0</v>
      </c>
      <c r="S10" s="15">
        <f>FACE!R10</f>
        <v>0</v>
      </c>
      <c r="T10" s="150">
        <f>FACE!Q10</f>
        <v>0</v>
      </c>
      <c r="U10" s="15">
        <f t="shared" si="0"/>
        <v>8642</v>
      </c>
      <c r="V10" s="106">
        <f t="shared" si="1"/>
        <v>35818</v>
      </c>
      <c r="W10" s="19"/>
      <c r="X10" s="2"/>
      <c r="Y10" s="5"/>
    </row>
    <row r="11" spans="1:25" ht="15">
      <c r="A11" s="15">
        <v>8</v>
      </c>
      <c r="B11" s="16">
        <f t="shared" si="3"/>
        <v>43009</v>
      </c>
      <c r="C11" s="17">
        <f t="shared" si="4"/>
        <v>38000</v>
      </c>
      <c r="D11" s="15">
        <f>ROUND(C11*FACE!O11,0)</f>
        <v>3420</v>
      </c>
      <c r="E11" s="15">
        <f>ROUND(C11*FACE!$B$14,0)</f>
        <v>3040</v>
      </c>
      <c r="F11" s="15">
        <v>0</v>
      </c>
      <c r="G11" s="149">
        <v>0</v>
      </c>
      <c r="H11" s="150">
        <v>0</v>
      </c>
      <c r="I11" s="150">
        <v>0</v>
      </c>
      <c r="J11" s="15">
        <f t="shared" si="2"/>
        <v>44460</v>
      </c>
      <c r="K11" s="17">
        <f>FACE!H11</f>
        <v>4142</v>
      </c>
      <c r="L11" s="17">
        <f>FACE!I11</f>
        <v>3000</v>
      </c>
      <c r="M11" s="17">
        <f>FACE!K11</f>
        <v>1500</v>
      </c>
      <c r="N11" s="15">
        <f>FACE!J11</f>
        <v>0</v>
      </c>
      <c r="O11" s="15">
        <f>FACE!N11</f>
        <v>0</v>
      </c>
      <c r="P11" s="17">
        <f>FACE!M11</f>
        <v>0</v>
      </c>
      <c r="Q11" s="18">
        <f>FACE!L11</f>
        <v>0</v>
      </c>
      <c r="R11" s="15">
        <v>0</v>
      </c>
      <c r="S11" s="15">
        <f>FACE!R11</f>
        <v>0</v>
      </c>
      <c r="T11" s="150">
        <f>FACE!Q11</f>
        <v>0</v>
      </c>
      <c r="U11" s="15">
        <f t="shared" si="0"/>
        <v>8642</v>
      </c>
      <c r="V11" s="106">
        <f t="shared" si="1"/>
        <v>35818</v>
      </c>
      <c r="W11" s="19"/>
      <c r="X11" s="2"/>
      <c r="Y11" s="5"/>
    </row>
    <row r="12" spans="1:25" ht="15">
      <c r="A12" s="15">
        <v>9</v>
      </c>
      <c r="B12" s="16">
        <f t="shared" si="3"/>
        <v>43040</v>
      </c>
      <c r="C12" s="17">
        <f t="shared" si="4"/>
        <v>38000</v>
      </c>
      <c r="D12" s="15">
        <f>ROUND(C12*FACE!O12,0)</f>
        <v>3420</v>
      </c>
      <c r="E12" s="15">
        <f>ROUND(C12*FACE!$B$14,0)</f>
        <v>3040</v>
      </c>
      <c r="F12" s="15">
        <v>0</v>
      </c>
      <c r="G12" s="149">
        <v>0</v>
      </c>
      <c r="H12" s="150">
        <v>0</v>
      </c>
      <c r="I12" s="150">
        <v>0</v>
      </c>
      <c r="J12" s="15">
        <f t="shared" si="2"/>
        <v>44460</v>
      </c>
      <c r="K12" s="17">
        <f>FACE!H12</f>
        <v>4142</v>
      </c>
      <c r="L12" s="17">
        <f>FACE!I12</f>
        <v>3000</v>
      </c>
      <c r="M12" s="17">
        <f>FACE!K12</f>
        <v>1500</v>
      </c>
      <c r="N12" s="15">
        <f>FACE!J12</f>
        <v>0</v>
      </c>
      <c r="O12" s="15">
        <f>FACE!N12</f>
        <v>0</v>
      </c>
      <c r="P12" s="17">
        <f>FACE!M12</f>
        <v>0</v>
      </c>
      <c r="Q12" s="18">
        <f>FACE!L12</f>
        <v>0</v>
      </c>
      <c r="R12" s="15">
        <v>0</v>
      </c>
      <c r="S12" s="15">
        <f>FACE!R12</f>
        <v>0</v>
      </c>
      <c r="T12" s="150">
        <f>FACE!Q12</f>
        <v>0</v>
      </c>
      <c r="U12" s="15">
        <f t="shared" si="0"/>
        <v>8642</v>
      </c>
      <c r="V12" s="106">
        <f t="shared" si="1"/>
        <v>35818</v>
      </c>
      <c r="W12" s="19"/>
      <c r="X12" s="2"/>
      <c r="Y12" s="5"/>
    </row>
    <row r="13" spans="1:25" ht="15">
      <c r="A13" s="15">
        <v>10</v>
      </c>
      <c r="B13" s="16">
        <f t="shared" si="3"/>
        <v>43070</v>
      </c>
      <c r="C13" s="17">
        <f t="shared" si="4"/>
        <v>38000</v>
      </c>
      <c r="D13" s="15">
        <f>ROUND(C13*FACE!O13,0)</f>
        <v>3420</v>
      </c>
      <c r="E13" s="15">
        <f>ROUND(C13*FACE!$B$14,0)</f>
        <v>3040</v>
      </c>
      <c r="F13" s="15">
        <v>0</v>
      </c>
      <c r="G13" s="149">
        <v>0</v>
      </c>
      <c r="H13" s="150">
        <v>0</v>
      </c>
      <c r="I13" s="150">
        <v>0</v>
      </c>
      <c r="J13" s="15">
        <f t="shared" si="2"/>
        <v>44460</v>
      </c>
      <c r="K13" s="17">
        <f>FACE!H13</f>
        <v>4142</v>
      </c>
      <c r="L13" s="17">
        <f>FACE!I13</f>
        <v>3000</v>
      </c>
      <c r="M13" s="17">
        <f>FACE!K13</f>
        <v>1500</v>
      </c>
      <c r="N13" s="15">
        <f>FACE!J13</f>
        <v>0</v>
      </c>
      <c r="O13" s="15">
        <f>FACE!N13</f>
        <v>0</v>
      </c>
      <c r="P13" s="17">
        <f>FACE!M13</f>
        <v>0</v>
      </c>
      <c r="Q13" s="18">
        <f>FACE!L13</f>
        <v>0</v>
      </c>
      <c r="R13" s="15">
        <v>0</v>
      </c>
      <c r="S13" s="15">
        <f>FACE!R13</f>
        <v>0</v>
      </c>
      <c r="T13" s="150">
        <f>FACE!Q13</f>
        <v>0</v>
      </c>
      <c r="U13" s="15">
        <f t="shared" si="0"/>
        <v>8642</v>
      </c>
      <c r="V13" s="106">
        <f t="shared" si="1"/>
        <v>35818</v>
      </c>
      <c r="W13" s="19"/>
      <c r="X13" s="2"/>
      <c r="Y13" s="5"/>
    </row>
    <row r="14" spans="1:25" ht="15">
      <c r="A14" s="15">
        <v>11</v>
      </c>
      <c r="B14" s="16">
        <f t="shared" si="3"/>
        <v>43101</v>
      </c>
      <c r="C14" s="17">
        <f t="shared" si="4"/>
        <v>38000</v>
      </c>
      <c r="D14" s="15">
        <f>ROUND(C14*FACE!O14,0)</f>
        <v>3420</v>
      </c>
      <c r="E14" s="15">
        <f>ROUND(C14*FACE!$B$14,0)</f>
        <v>3040</v>
      </c>
      <c r="F14" s="15">
        <v>0</v>
      </c>
      <c r="G14" s="149">
        <v>0</v>
      </c>
      <c r="H14" s="150">
        <v>0</v>
      </c>
      <c r="I14" s="150">
        <v>0</v>
      </c>
      <c r="J14" s="15">
        <f t="shared" si="2"/>
        <v>44460</v>
      </c>
      <c r="K14" s="17">
        <f>FACE!H14</f>
        <v>4142</v>
      </c>
      <c r="L14" s="17">
        <f>FACE!I14</f>
        <v>3000</v>
      </c>
      <c r="M14" s="17">
        <f>FACE!K14</f>
        <v>1500</v>
      </c>
      <c r="N14" s="15">
        <f>FACE!J14</f>
        <v>0</v>
      </c>
      <c r="O14" s="15">
        <f>FACE!N14</f>
        <v>0</v>
      </c>
      <c r="P14" s="17">
        <f>FACE!M14</f>
        <v>0</v>
      </c>
      <c r="Q14" s="18">
        <f>FACE!L14</f>
        <v>0</v>
      </c>
      <c r="R14" s="15">
        <v>0</v>
      </c>
      <c r="S14" s="15">
        <f>FACE!R14</f>
        <v>0</v>
      </c>
      <c r="T14" s="150">
        <f>FACE!Q14</f>
        <v>0</v>
      </c>
      <c r="U14" s="15">
        <f t="shared" si="0"/>
        <v>8642</v>
      </c>
      <c r="V14" s="106">
        <f t="shared" si="1"/>
        <v>35818</v>
      </c>
      <c r="W14" s="19"/>
      <c r="X14" s="2"/>
      <c r="Y14" s="5"/>
    </row>
    <row r="15" spans="1:25" ht="15">
      <c r="A15" s="15">
        <v>12</v>
      </c>
      <c r="B15" s="16">
        <f t="shared" si="3"/>
        <v>43132</v>
      </c>
      <c r="C15" s="17">
        <f t="shared" si="4"/>
        <v>38000</v>
      </c>
      <c r="D15" s="15">
        <f>ROUND(C15*FACE!O15,0)</f>
        <v>3420</v>
      </c>
      <c r="E15" s="15">
        <f>ROUND(C15*FACE!$B$14,0)</f>
        <v>3040</v>
      </c>
      <c r="F15" s="15">
        <v>0</v>
      </c>
      <c r="G15" s="149">
        <v>0</v>
      </c>
      <c r="H15" s="150">
        <v>0</v>
      </c>
      <c r="I15" s="150">
        <v>0</v>
      </c>
      <c r="J15" s="15">
        <f t="shared" si="2"/>
        <v>44460</v>
      </c>
      <c r="K15" s="17">
        <f>FACE!H15</f>
        <v>4142</v>
      </c>
      <c r="L15" s="17">
        <f>FACE!I15</f>
        <v>3000</v>
      </c>
      <c r="M15" s="17">
        <f>FACE!K15</f>
        <v>1500</v>
      </c>
      <c r="N15" s="15">
        <f>FACE!J15</f>
        <v>0</v>
      </c>
      <c r="O15" s="15">
        <f>FACE!N15</f>
        <v>0</v>
      </c>
      <c r="P15" s="17">
        <f>FACE!M15</f>
        <v>0</v>
      </c>
      <c r="Q15" s="18">
        <f>FACE!L15</f>
        <v>0</v>
      </c>
      <c r="R15" s="15">
        <v>0</v>
      </c>
      <c r="S15" s="15">
        <f>FACE!R15</f>
        <v>0</v>
      </c>
      <c r="T15" s="150">
        <f>FACE!Q15</f>
        <v>0</v>
      </c>
      <c r="U15" s="15">
        <f t="shared" si="0"/>
        <v>8642</v>
      </c>
      <c r="V15" s="106">
        <f t="shared" si="1"/>
        <v>35818</v>
      </c>
      <c r="W15" s="19"/>
      <c r="X15" s="2"/>
      <c r="Y15" s="5"/>
    </row>
    <row r="16" spans="1:25" ht="15">
      <c r="A16" s="226" t="s">
        <v>19</v>
      </c>
      <c r="B16" s="227"/>
      <c r="C16" s="17">
        <f>FACE!B12</f>
        <v>18450</v>
      </c>
      <c r="D16" s="15">
        <f>ROUND(C16*FACE!B13,0)</f>
        <v>1292</v>
      </c>
      <c r="E16" s="15">
        <v>0</v>
      </c>
      <c r="F16" s="15">
        <v>0</v>
      </c>
      <c r="G16" s="149">
        <v>0</v>
      </c>
      <c r="H16" s="150">
        <v>0</v>
      </c>
      <c r="I16" s="150">
        <v>0</v>
      </c>
      <c r="J16" s="15">
        <f>C16+D16+E16+F16+G16+H16+I16</f>
        <v>19742</v>
      </c>
      <c r="K16" s="17">
        <v>0</v>
      </c>
      <c r="L16" s="15">
        <v>0</v>
      </c>
      <c r="M16" s="17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f>FACE!R16</f>
        <v>0</v>
      </c>
      <c r="T16" s="149">
        <v>0</v>
      </c>
      <c r="U16" s="15">
        <f t="shared" si="0"/>
        <v>0</v>
      </c>
      <c r="V16" s="106">
        <f t="shared" si="1"/>
        <v>19742</v>
      </c>
      <c r="W16" s="19"/>
      <c r="X16" s="2"/>
      <c r="Y16" s="5"/>
    </row>
    <row r="17" spans="1:25" ht="15">
      <c r="A17" s="212" t="s">
        <v>10</v>
      </c>
      <c r="B17" s="213"/>
      <c r="C17" s="15">
        <v>0</v>
      </c>
      <c r="D17" s="15">
        <v>0</v>
      </c>
      <c r="E17" s="15">
        <v>0</v>
      </c>
      <c r="F17" s="17">
        <f>FACE!B8</f>
        <v>6774</v>
      </c>
      <c r="G17" s="149">
        <v>0</v>
      </c>
      <c r="H17" s="150">
        <v>0</v>
      </c>
      <c r="I17" s="150">
        <v>0</v>
      </c>
      <c r="J17" s="15">
        <f t="shared" si="2"/>
        <v>6774</v>
      </c>
      <c r="K17" s="17">
        <v>0</v>
      </c>
      <c r="L17" s="15">
        <v>0</v>
      </c>
      <c r="M17" s="17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f>FACE!R17</f>
        <v>0</v>
      </c>
      <c r="T17" s="150">
        <v>0</v>
      </c>
      <c r="U17" s="15">
        <f t="shared" si="0"/>
        <v>0</v>
      </c>
      <c r="V17" s="106">
        <f t="shared" si="1"/>
        <v>6774</v>
      </c>
      <c r="W17" s="19"/>
      <c r="X17" s="2"/>
      <c r="Y17" s="5"/>
    </row>
    <row r="18" spans="1:25" ht="15">
      <c r="A18" s="212" t="s">
        <v>99</v>
      </c>
      <c r="B18" s="213"/>
      <c r="C18" s="15">
        <v>0</v>
      </c>
      <c r="D18" s="17">
        <f>ROUND(C4*FACE!B22*FACE!B24,0)</f>
        <v>1476</v>
      </c>
      <c r="E18" s="15">
        <v>0</v>
      </c>
      <c r="F18" s="15">
        <v>0</v>
      </c>
      <c r="G18" s="149">
        <v>0</v>
      </c>
      <c r="H18" s="150">
        <v>0</v>
      </c>
      <c r="I18" s="150">
        <v>0</v>
      </c>
      <c r="J18" s="15">
        <f t="shared" si="2"/>
        <v>1476</v>
      </c>
      <c r="K18" s="17">
        <f>ROUND(D18/100*10,0)</f>
        <v>148</v>
      </c>
      <c r="L18" s="15">
        <v>0</v>
      </c>
      <c r="M18" s="17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>FACE!R18</f>
        <v>0</v>
      </c>
      <c r="T18" s="150">
        <v>0</v>
      </c>
      <c r="U18" s="15">
        <f aca="true" t="shared" si="5" ref="U18:U24">K18+L18+M18+N18+O18+P18+Q18+R18+S18+T18</f>
        <v>148</v>
      </c>
      <c r="V18" s="106">
        <f t="shared" si="1"/>
        <v>1328</v>
      </c>
      <c r="W18" s="19"/>
      <c r="X18" s="2"/>
      <c r="Y18" s="5"/>
    </row>
    <row r="19" spans="1:25" ht="15">
      <c r="A19" s="212" t="s">
        <v>100</v>
      </c>
      <c r="B19" s="213"/>
      <c r="C19" s="15">
        <v>0</v>
      </c>
      <c r="D19" s="17">
        <f>ROUND(C8*FACE!B23*FACE!B25,0)</f>
        <v>1520</v>
      </c>
      <c r="E19" s="15">
        <v>0</v>
      </c>
      <c r="F19" s="15">
        <v>0</v>
      </c>
      <c r="G19" s="149">
        <v>0</v>
      </c>
      <c r="H19" s="150">
        <v>0</v>
      </c>
      <c r="I19" s="150">
        <v>0</v>
      </c>
      <c r="J19" s="15">
        <f t="shared" si="2"/>
        <v>1520</v>
      </c>
      <c r="K19" s="17">
        <f>ROUND(D19/100*10,0)</f>
        <v>152</v>
      </c>
      <c r="L19" s="15">
        <v>0</v>
      </c>
      <c r="M19" s="17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f>FACE!R19</f>
        <v>0</v>
      </c>
      <c r="T19" s="150">
        <v>0</v>
      </c>
      <c r="U19" s="15">
        <f t="shared" si="5"/>
        <v>152</v>
      </c>
      <c r="V19" s="106">
        <f t="shared" si="1"/>
        <v>1368</v>
      </c>
      <c r="W19" s="19"/>
      <c r="X19" s="2"/>
      <c r="Y19" s="5"/>
    </row>
    <row r="20" spans="1:25" ht="15">
      <c r="A20" s="204" t="s">
        <v>108</v>
      </c>
      <c r="B20" s="205"/>
      <c r="C20" s="128">
        <f>FACE!B31</f>
        <v>0</v>
      </c>
      <c r="D20" s="128">
        <f>FACE!C31</f>
        <v>0</v>
      </c>
      <c r="E20" s="128">
        <f>FACE!D31</f>
        <v>0</v>
      </c>
      <c r="F20" s="104">
        <v>0</v>
      </c>
      <c r="G20" s="151">
        <v>0</v>
      </c>
      <c r="H20" s="152">
        <v>0</v>
      </c>
      <c r="I20" s="152">
        <v>0</v>
      </c>
      <c r="J20" s="104">
        <f>C20+D20+E20+F20+G20+H20+I20</f>
        <v>0</v>
      </c>
      <c r="K20" s="20">
        <f>FACE!F31</f>
        <v>0</v>
      </c>
      <c r="L20" s="20">
        <f>FACE!G31</f>
        <v>0</v>
      </c>
      <c r="M20" s="105">
        <v>0</v>
      </c>
      <c r="N20" s="104">
        <f>FACE!H31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52">
        <f>FACE!I31</f>
        <v>0</v>
      </c>
      <c r="U20" s="15">
        <f t="shared" si="5"/>
        <v>0</v>
      </c>
      <c r="V20" s="106">
        <f t="shared" si="1"/>
        <v>0</v>
      </c>
      <c r="W20" s="19"/>
      <c r="X20" s="2"/>
      <c r="Y20" s="5"/>
    </row>
    <row r="21" spans="1:25" ht="15">
      <c r="A21" s="204" t="str">
        <f>FACE!A32</f>
        <v>7TH PAY COMMISSION first installment</v>
      </c>
      <c r="B21" s="205"/>
      <c r="C21" s="128">
        <f>FACE!B32</f>
        <v>0</v>
      </c>
      <c r="D21" s="128">
        <f>FACE!C32</f>
        <v>0</v>
      </c>
      <c r="E21" s="128">
        <f>FACE!D32</f>
        <v>0</v>
      </c>
      <c r="F21" s="104">
        <v>0</v>
      </c>
      <c r="G21" s="151">
        <v>0</v>
      </c>
      <c r="H21" s="152">
        <v>0</v>
      </c>
      <c r="I21" s="152">
        <v>0</v>
      </c>
      <c r="J21" s="104">
        <f>FACE!E32</f>
        <v>0</v>
      </c>
      <c r="K21" s="20">
        <f>FACE!F32</f>
        <v>0</v>
      </c>
      <c r="L21" s="20">
        <f>FACE!G31</f>
        <v>0</v>
      </c>
      <c r="M21" s="105">
        <v>0</v>
      </c>
      <c r="N21" s="104">
        <f>FACE!H32</f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52">
        <f>FACE!I32</f>
        <v>0</v>
      </c>
      <c r="U21" s="15">
        <f t="shared" si="5"/>
        <v>0</v>
      </c>
      <c r="V21" s="106">
        <f t="shared" si="1"/>
        <v>0</v>
      </c>
      <c r="W21" s="19"/>
      <c r="X21" s="2"/>
      <c r="Y21" s="5"/>
    </row>
    <row r="22" spans="1:25" ht="15">
      <c r="A22" s="204" t="str">
        <f>FACE!A33</f>
        <v>7TH PAY COMMISSION Second installment</v>
      </c>
      <c r="B22" s="205"/>
      <c r="C22" s="128">
        <f>FACE!B33</f>
        <v>0</v>
      </c>
      <c r="D22" s="128">
        <f>FACE!C33</f>
        <v>0</v>
      </c>
      <c r="E22" s="128">
        <f>FACE!D33</f>
        <v>0</v>
      </c>
      <c r="F22" s="104">
        <v>0</v>
      </c>
      <c r="G22" s="151">
        <v>0</v>
      </c>
      <c r="H22" s="152">
        <v>0</v>
      </c>
      <c r="I22" s="152">
        <v>0</v>
      </c>
      <c r="J22" s="104">
        <f>FACE!E33</f>
        <v>0</v>
      </c>
      <c r="K22" s="20">
        <f>FACE!F33</f>
        <v>0</v>
      </c>
      <c r="L22" s="20">
        <f>FACE!G32</f>
        <v>0</v>
      </c>
      <c r="M22" s="105">
        <v>0</v>
      </c>
      <c r="N22" s="104">
        <f>FACE!H33</f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52">
        <f>FACE!I33</f>
        <v>0</v>
      </c>
      <c r="U22" s="15">
        <f t="shared" si="5"/>
        <v>0</v>
      </c>
      <c r="V22" s="106">
        <f t="shared" si="1"/>
        <v>0</v>
      </c>
      <c r="W22" s="19"/>
      <c r="X22" s="2"/>
      <c r="Y22" s="5"/>
    </row>
    <row r="23" spans="1:25" ht="15">
      <c r="A23" s="204" t="str">
        <f>FACE!A34</f>
        <v>7TH PAY COMMISSION Third installment</v>
      </c>
      <c r="B23" s="205"/>
      <c r="C23" s="128">
        <f>FACE!B34</f>
        <v>0</v>
      </c>
      <c r="D23" s="128">
        <f>FACE!C34</f>
        <v>0</v>
      </c>
      <c r="E23" s="128">
        <f>FACE!D34</f>
        <v>0</v>
      </c>
      <c r="F23" s="104">
        <v>0</v>
      </c>
      <c r="G23" s="151">
        <v>0</v>
      </c>
      <c r="H23" s="152">
        <v>0</v>
      </c>
      <c r="I23" s="152">
        <v>0</v>
      </c>
      <c r="J23" s="104">
        <f>FACE!E34</f>
        <v>0</v>
      </c>
      <c r="K23" s="20">
        <f>FACE!F34</f>
        <v>0</v>
      </c>
      <c r="L23" s="20">
        <f>FACE!G33</f>
        <v>0</v>
      </c>
      <c r="M23" s="105">
        <v>0</v>
      </c>
      <c r="N23" s="104">
        <f>FACE!H34</f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52">
        <f>FACE!I34</f>
        <v>0</v>
      </c>
      <c r="U23" s="15">
        <f t="shared" si="5"/>
        <v>0</v>
      </c>
      <c r="V23" s="106">
        <f t="shared" si="1"/>
        <v>0</v>
      </c>
      <c r="W23" s="19"/>
      <c r="X23" s="2"/>
      <c r="Y23" s="5"/>
    </row>
    <row r="24" spans="1:25" ht="15" customHeight="1">
      <c r="A24" s="204" t="str">
        <f>FACE!A35</f>
        <v>7th pay arrear</v>
      </c>
      <c r="B24" s="205"/>
      <c r="C24" s="128">
        <f>FACE!B35</f>
        <v>0</v>
      </c>
      <c r="D24" s="128">
        <f>FACE!C35</f>
        <v>0</v>
      </c>
      <c r="E24" s="128">
        <f>FACE!D35</f>
        <v>0</v>
      </c>
      <c r="F24" s="104">
        <v>0</v>
      </c>
      <c r="G24" s="151">
        <v>0</v>
      </c>
      <c r="H24" s="152">
        <v>0</v>
      </c>
      <c r="I24" s="152">
        <v>0</v>
      </c>
      <c r="J24" s="104">
        <f>FACE!E35</f>
        <v>0</v>
      </c>
      <c r="K24" s="20">
        <f>FACE!F35</f>
        <v>0</v>
      </c>
      <c r="L24" s="20">
        <f>FACE!G34</f>
        <v>0</v>
      </c>
      <c r="M24" s="104">
        <v>0</v>
      </c>
      <c r="N24" s="104">
        <f>FACE!H35</f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52">
        <f>FACE!I35</f>
        <v>0</v>
      </c>
      <c r="U24" s="15">
        <f t="shared" si="5"/>
        <v>0</v>
      </c>
      <c r="V24" s="106">
        <f t="shared" si="1"/>
        <v>0</v>
      </c>
      <c r="W24" s="21"/>
      <c r="X24" s="2"/>
      <c r="Y24" s="5"/>
    </row>
    <row r="25" spans="1:25" s="25" customFormat="1" ht="33.75" customHeight="1">
      <c r="A25" s="214" t="s">
        <v>12</v>
      </c>
      <c r="B25" s="215"/>
      <c r="C25" s="22">
        <f aca="true" t="shared" si="6" ref="C25:V25">SUM(C4:C24)</f>
        <v>470050</v>
      </c>
      <c r="D25" s="22">
        <f t="shared" si="6"/>
        <v>40460</v>
      </c>
      <c r="E25" s="22">
        <f t="shared" si="6"/>
        <v>36128</v>
      </c>
      <c r="F25" s="22">
        <f t="shared" si="6"/>
        <v>6774</v>
      </c>
      <c r="G25" s="22">
        <f t="shared" si="6"/>
        <v>0</v>
      </c>
      <c r="H25" s="22">
        <f t="shared" si="6"/>
        <v>0</v>
      </c>
      <c r="I25" s="22">
        <f t="shared" si="6"/>
        <v>0</v>
      </c>
      <c r="J25" s="22">
        <f t="shared" si="6"/>
        <v>553412</v>
      </c>
      <c r="K25" s="22">
        <f t="shared" si="6"/>
        <v>49076</v>
      </c>
      <c r="L25" s="22">
        <f t="shared" si="6"/>
        <v>36000</v>
      </c>
      <c r="M25" s="22">
        <f t="shared" si="6"/>
        <v>18000</v>
      </c>
      <c r="N25" s="22">
        <f t="shared" si="6"/>
        <v>0</v>
      </c>
      <c r="O25" s="22">
        <f t="shared" si="6"/>
        <v>0</v>
      </c>
      <c r="P25" s="22">
        <f t="shared" si="6"/>
        <v>0</v>
      </c>
      <c r="Q25" s="22">
        <f t="shared" si="6"/>
        <v>0</v>
      </c>
      <c r="R25" s="22">
        <f t="shared" si="6"/>
        <v>220</v>
      </c>
      <c r="S25" s="22">
        <f t="shared" si="6"/>
        <v>0</v>
      </c>
      <c r="T25" s="22">
        <f t="shared" si="6"/>
        <v>0</v>
      </c>
      <c r="U25" s="22">
        <f t="shared" si="6"/>
        <v>103296</v>
      </c>
      <c r="V25" s="22">
        <f t="shared" si="6"/>
        <v>450116</v>
      </c>
      <c r="W25" s="22"/>
      <c r="X25" s="23"/>
      <c r="Y25" s="24"/>
    </row>
    <row r="26" spans="1:23" ht="17.25" customHeight="1">
      <c r="A26" s="228" t="s">
        <v>20</v>
      </c>
      <c r="B26" s="229"/>
      <c r="C26" s="229"/>
      <c r="D26" s="229"/>
      <c r="E26" s="229"/>
      <c r="F26" s="229"/>
      <c r="G26" s="229"/>
      <c r="H26" s="230" t="s">
        <v>77</v>
      </c>
      <c r="I26" s="230"/>
      <c r="J26" s="230"/>
      <c r="K26" s="230"/>
      <c r="L26" s="231" t="s">
        <v>21</v>
      </c>
      <c r="M26" s="231"/>
      <c r="N26" s="228" t="s">
        <v>22</v>
      </c>
      <c r="O26" s="229"/>
      <c r="P26" s="229"/>
      <c r="Q26" s="229"/>
      <c r="R26" s="229"/>
      <c r="S26" s="229"/>
      <c r="T26" s="229"/>
      <c r="U26" s="229"/>
      <c r="V26" s="229"/>
      <c r="W26" s="232"/>
    </row>
    <row r="27" spans="1:23" ht="15">
      <c r="A27" s="236" t="s">
        <v>23</v>
      </c>
      <c r="B27" s="236"/>
      <c r="C27" s="236"/>
      <c r="D27" s="236"/>
      <c r="E27" s="236"/>
      <c r="F27" s="237">
        <f>C25</f>
        <v>470050</v>
      </c>
      <c r="G27" s="238"/>
      <c r="H27" s="245" t="s">
        <v>123</v>
      </c>
      <c r="I27" s="246"/>
      <c r="J27" s="246"/>
      <c r="K27" s="247"/>
      <c r="L27" s="233">
        <f>E25</f>
        <v>36128</v>
      </c>
      <c r="M27" s="239"/>
      <c r="N27" s="240" t="s">
        <v>24</v>
      </c>
      <c r="O27" s="241"/>
      <c r="P27" s="241"/>
      <c r="Q27" s="241"/>
      <c r="R27" s="241"/>
      <c r="S27" s="241"/>
      <c r="T27" s="241"/>
      <c r="U27" s="241"/>
      <c r="V27" s="241"/>
      <c r="W27" s="242"/>
    </row>
    <row r="28" spans="1:23" ht="15">
      <c r="A28" s="236" t="s">
        <v>8</v>
      </c>
      <c r="B28" s="236"/>
      <c r="C28" s="236"/>
      <c r="D28" s="236"/>
      <c r="E28" s="236"/>
      <c r="F28" s="237">
        <f>D25</f>
        <v>40460</v>
      </c>
      <c r="G28" s="238"/>
      <c r="H28" s="245" t="s">
        <v>124</v>
      </c>
      <c r="I28" s="246"/>
      <c r="J28" s="246"/>
      <c r="K28" s="247"/>
      <c r="L28" s="249">
        <f>FACE!B27</f>
        <v>0</v>
      </c>
      <c r="M28" s="250"/>
      <c r="N28" s="247" t="s">
        <v>25</v>
      </c>
      <c r="O28" s="236"/>
      <c r="P28" s="236"/>
      <c r="Q28" s="248">
        <f>L25</f>
        <v>36000</v>
      </c>
      <c r="R28" s="248"/>
      <c r="S28" s="233" t="s">
        <v>26</v>
      </c>
      <c r="T28" s="233"/>
      <c r="U28" s="233"/>
      <c r="V28" s="234">
        <f>FACE!H18</f>
        <v>40000</v>
      </c>
      <c r="W28" s="235"/>
    </row>
    <row r="29" spans="1:23" ht="15">
      <c r="A29" s="236"/>
      <c r="B29" s="236"/>
      <c r="C29" s="236"/>
      <c r="D29" s="236"/>
      <c r="E29" s="236"/>
      <c r="F29" s="237"/>
      <c r="G29" s="238"/>
      <c r="H29" s="245" t="s">
        <v>125</v>
      </c>
      <c r="I29" s="246"/>
      <c r="J29" s="246"/>
      <c r="K29" s="247"/>
      <c r="L29" s="243">
        <f>IF(L28&gt;F34/10,(L28-F34/10),0)</f>
        <v>0</v>
      </c>
      <c r="M29" s="244"/>
      <c r="N29" s="247" t="s">
        <v>163</v>
      </c>
      <c r="O29" s="236"/>
      <c r="P29" s="236"/>
      <c r="Q29" s="248">
        <f>K25</f>
        <v>49076</v>
      </c>
      <c r="R29" s="248"/>
      <c r="S29" s="233" t="s">
        <v>27</v>
      </c>
      <c r="T29" s="233"/>
      <c r="U29" s="233"/>
      <c r="V29" s="204">
        <f>O25</f>
        <v>0</v>
      </c>
      <c r="W29" s="205"/>
    </row>
    <row r="30" spans="1:23" ht="15">
      <c r="A30" s="253" t="s">
        <v>119</v>
      </c>
      <c r="B30" s="253"/>
      <c r="C30" s="253"/>
      <c r="D30" s="253"/>
      <c r="E30" s="253"/>
      <c r="F30" s="254">
        <f>F27+F28+F29</f>
        <v>510510</v>
      </c>
      <c r="G30" s="255"/>
      <c r="H30" s="256" t="s">
        <v>126</v>
      </c>
      <c r="I30" s="257"/>
      <c r="J30" s="257"/>
      <c r="K30" s="257"/>
      <c r="L30" s="258">
        <f>SMALL(L27:L28:L29,1)</f>
        <v>0</v>
      </c>
      <c r="M30" s="259"/>
      <c r="N30" s="247" t="s">
        <v>28</v>
      </c>
      <c r="O30" s="236"/>
      <c r="P30" s="236"/>
      <c r="Q30" s="260">
        <f>FACE!H20</f>
        <v>0</v>
      </c>
      <c r="R30" s="260"/>
      <c r="S30" s="233" t="s">
        <v>29</v>
      </c>
      <c r="T30" s="233"/>
      <c r="U30" s="233"/>
      <c r="V30" s="204">
        <f>FACE!H22</f>
        <v>0</v>
      </c>
      <c r="W30" s="205"/>
    </row>
    <row r="31" spans="1:23" ht="15.75" thickBot="1">
      <c r="A31" s="236" t="s">
        <v>10</v>
      </c>
      <c r="B31" s="236"/>
      <c r="C31" s="236"/>
      <c r="D31" s="236"/>
      <c r="E31" s="236"/>
      <c r="F31" s="237">
        <f>J17</f>
        <v>6774</v>
      </c>
      <c r="G31" s="238"/>
      <c r="H31" s="261" t="s">
        <v>30</v>
      </c>
      <c r="I31" s="262"/>
      <c r="J31" s="262"/>
      <c r="K31" s="262"/>
      <c r="L31" s="281">
        <f>L27-L30</f>
        <v>36128</v>
      </c>
      <c r="M31" s="282"/>
      <c r="N31" s="247" t="s">
        <v>31</v>
      </c>
      <c r="O31" s="236"/>
      <c r="P31" s="236"/>
      <c r="Q31" s="248">
        <f>M25</f>
        <v>18000</v>
      </c>
      <c r="R31" s="248"/>
      <c r="S31" s="233" t="s">
        <v>32</v>
      </c>
      <c r="T31" s="233"/>
      <c r="U31" s="233"/>
      <c r="V31" s="204">
        <f>FACE!H23</f>
        <v>0</v>
      </c>
      <c r="W31" s="205"/>
    </row>
    <row r="32" spans="1:23" ht="16.5" thickBot="1" thickTop="1">
      <c r="A32" s="236" t="s">
        <v>36</v>
      </c>
      <c r="B32" s="236"/>
      <c r="C32" s="236"/>
      <c r="D32" s="236"/>
      <c r="E32" s="236"/>
      <c r="F32" s="237">
        <v>0</v>
      </c>
      <c r="G32" s="238"/>
      <c r="H32" s="277" t="s">
        <v>33</v>
      </c>
      <c r="I32" s="278"/>
      <c r="J32" s="278"/>
      <c r="K32" s="278"/>
      <c r="L32" s="279">
        <f>F34+L31</f>
        <v>553412</v>
      </c>
      <c r="M32" s="280"/>
      <c r="N32" s="247" t="s">
        <v>34</v>
      </c>
      <c r="O32" s="236"/>
      <c r="P32" s="236"/>
      <c r="Q32" s="260">
        <f>FACE!H19</f>
        <v>0</v>
      </c>
      <c r="R32" s="260"/>
      <c r="S32" s="233" t="s">
        <v>35</v>
      </c>
      <c r="T32" s="233"/>
      <c r="U32" s="233"/>
      <c r="V32" s="204">
        <f>FACE!B16</f>
        <v>220</v>
      </c>
      <c r="W32" s="205"/>
    </row>
    <row r="33" spans="1:23" ht="16.5" thickBot="1" thickTop="1">
      <c r="A33" s="264" t="s">
        <v>120</v>
      </c>
      <c r="B33" s="264"/>
      <c r="C33" s="264"/>
      <c r="D33" s="264"/>
      <c r="E33" s="264"/>
      <c r="F33" s="265">
        <f>F31+F32</f>
        <v>6774</v>
      </c>
      <c r="G33" s="266"/>
      <c r="H33" s="267" t="s">
        <v>37</v>
      </c>
      <c r="I33" s="268"/>
      <c r="J33" s="268"/>
      <c r="K33" s="268"/>
      <c r="L33" s="268"/>
      <c r="M33" s="269"/>
      <c r="N33" s="236" t="s">
        <v>38</v>
      </c>
      <c r="O33" s="236"/>
      <c r="P33" s="236"/>
      <c r="Q33" s="260">
        <f>FACE!H21</f>
        <v>25000</v>
      </c>
      <c r="R33" s="260"/>
      <c r="S33" s="270" t="s">
        <v>79</v>
      </c>
      <c r="T33" s="270"/>
      <c r="U33" s="270"/>
      <c r="V33" s="251">
        <v>0</v>
      </c>
      <c r="W33" s="252"/>
    </row>
    <row r="34" spans="1:23" ht="18" customHeight="1" thickBot="1" thickTop="1">
      <c r="A34" s="271" t="s">
        <v>121</v>
      </c>
      <c r="B34" s="271"/>
      <c r="C34" s="271"/>
      <c r="D34" s="271"/>
      <c r="E34" s="271"/>
      <c r="F34" s="272">
        <f>F30+F31</f>
        <v>517284</v>
      </c>
      <c r="G34" s="272"/>
      <c r="H34" s="14"/>
      <c r="I34" s="14"/>
      <c r="J34" s="14"/>
      <c r="K34" s="26"/>
      <c r="L34" s="14"/>
      <c r="M34" s="14"/>
      <c r="N34" s="236"/>
      <c r="O34" s="236"/>
      <c r="P34" s="236"/>
      <c r="Q34" s="248"/>
      <c r="R34" s="273"/>
      <c r="S34" s="263" t="s">
        <v>39</v>
      </c>
      <c r="T34" s="263"/>
      <c r="U34" s="263"/>
      <c r="V34" s="263">
        <f>Q28+Q29+Q30+Q31+Q32+Q33+Q34+V28+V29+V30+V31+V32+V33</f>
        <v>168296</v>
      </c>
      <c r="W34" s="263"/>
    </row>
    <row r="35" ht="15.75" thickTop="1"/>
  </sheetData>
  <sheetProtection password="C751" sheet="1"/>
  <mergeCells count="84">
    <mergeCell ref="R1:S1"/>
    <mergeCell ref="T1:U1"/>
    <mergeCell ref="A32:E32"/>
    <mergeCell ref="F32:G32"/>
    <mergeCell ref="H32:K32"/>
    <mergeCell ref="L32:M32"/>
    <mergeCell ref="N32:P32"/>
    <mergeCell ref="N29:P29"/>
    <mergeCell ref="Q29:R29"/>
    <mergeCell ref="L31:M31"/>
    <mergeCell ref="S33:U33"/>
    <mergeCell ref="A34:E34"/>
    <mergeCell ref="F34:G34"/>
    <mergeCell ref="N34:P34"/>
    <mergeCell ref="Q34:R34"/>
    <mergeCell ref="S34:U34"/>
    <mergeCell ref="A31:E31"/>
    <mergeCell ref="Q32:R32"/>
    <mergeCell ref="V34:W34"/>
    <mergeCell ref="S32:U32"/>
    <mergeCell ref="V32:W32"/>
    <mergeCell ref="A33:E33"/>
    <mergeCell ref="F33:G33"/>
    <mergeCell ref="H33:M33"/>
    <mergeCell ref="Q33:R33"/>
    <mergeCell ref="N33:P33"/>
    <mergeCell ref="V33:W33"/>
    <mergeCell ref="A30:E30"/>
    <mergeCell ref="F30:G30"/>
    <mergeCell ref="H30:K30"/>
    <mergeCell ref="L30:M30"/>
    <mergeCell ref="N30:P30"/>
    <mergeCell ref="Q30:R30"/>
    <mergeCell ref="S30:U30"/>
    <mergeCell ref="F31:G31"/>
    <mergeCell ref="H31:K31"/>
    <mergeCell ref="N31:P31"/>
    <mergeCell ref="Q31:R31"/>
    <mergeCell ref="S31:U31"/>
    <mergeCell ref="V31:W31"/>
    <mergeCell ref="A28:E28"/>
    <mergeCell ref="F28:G28"/>
    <mergeCell ref="L28:M28"/>
    <mergeCell ref="N28:P28"/>
    <mergeCell ref="Q28:R28"/>
    <mergeCell ref="V30:W30"/>
    <mergeCell ref="F29:G29"/>
    <mergeCell ref="L29:M29"/>
    <mergeCell ref="S29:U29"/>
    <mergeCell ref="A29:E29"/>
    <mergeCell ref="V29:W29"/>
    <mergeCell ref="H27:K27"/>
    <mergeCell ref="H28:K28"/>
    <mergeCell ref="H29:K29"/>
    <mergeCell ref="A26:G26"/>
    <mergeCell ref="H26:K26"/>
    <mergeCell ref="L26:M26"/>
    <mergeCell ref="N26:W26"/>
    <mergeCell ref="S28:U28"/>
    <mergeCell ref="V28:W28"/>
    <mergeCell ref="A27:E27"/>
    <mergeCell ref="F27:G27"/>
    <mergeCell ref="L27:M27"/>
    <mergeCell ref="N27:W27"/>
    <mergeCell ref="A25:B25"/>
    <mergeCell ref="A1:C1"/>
    <mergeCell ref="D1:I1"/>
    <mergeCell ref="J1:K1"/>
    <mergeCell ref="V2:V3"/>
    <mergeCell ref="W2:W3"/>
    <mergeCell ref="A16:B16"/>
    <mergeCell ref="A17:B17"/>
    <mergeCell ref="A18:B18"/>
    <mergeCell ref="K2:U2"/>
    <mergeCell ref="A24:B24"/>
    <mergeCell ref="L1:Q1"/>
    <mergeCell ref="A2:A3"/>
    <mergeCell ref="B2:B3"/>
    <mergeCell ref="C2:J2"/>
    <mergeCell ref="A19:B19"/>
    <mergeCell ref="A20:B20"/>
    <mergeCell ref="A21:B21"/>
    <mergeCell ref="A22:B22"/>
    <mergeCell ref="A23:B23"/>
  </mergeCells>
  <hyperlinks>
    <hyperlink ref="H33:M33" location="Sheet2!A1" display="(TOTAL INCOME TAKEN TO PAGE ONE )"/>
  </hyperlinks>
  <printOptions/>
  <pageMargins left="0.6340579710144928" right="0.25" top="0.2807971014492754" bottom="0.2807971014492754" header="0.3" footer="0.3"/>
  <pageSetup horizontalDpi="300" verticalDpi="300" orientation="landscape" paperSize="9" r:id="rId1"/>
  <headerFooter>
    <oddHeader>&amp;R&amp;8PREPARED BY-HP SONI</oddHeader>
    <oddFooter xml:space="preserve">&amp;C&amp;"-,Bold"&amp;9SIGN.DRAWNING OFFICER&amp;R&amp;"-,Bold"&amp;9
SIGN. EMPLOYEE      </oddFooter>
  </headerFooter>
  <ignoredErrors>
    <ignoredError sqref="C8" formula="1" unlockedFormula="1"/>
    <ignoredError sqref="C5:D7 C9:V17 D8 C4:D4 L4:V4 L5:V7 L8:V8 C20:J20 C18:J18 L18:V18 C19:J19 L19:V19 C23:J23 L23:V23 C22:J22 L22:V22 C21:J21 L21:V21 L20:V20 F4:J4 F5:J7 F8:J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27.7109375" style="3" customWidth="1"/>
    <col min="2" max="2" width="9.140625" style="3" customWidth="1"/>
    <col min="3" max="3" width="10.140625" style="3" customWidth="1"/>
    <col min="4" max="4" width="7.140625" style="3" customWidth="1"/>
    <col min="5" max="6" width="9.140625" style="3" customWidth="1"/>
    <col min="7" max="7" width="17.421875" style="3" customWidth="1"/>
    <col min="8" max="9" width="9.140625" style="3" customWidth="1"/>
    <col min="10" max="10" width="6.28125" style="3" hidden="1" customWidth="1"/>
    <col min="11" max="11" width="12.28125" style="3" customWidth="1"/>
    <col min="12" max="12" width="13.140625" style="3" customWidth="1"/>
    <col min="13" max="13" width="10.7109375" style="3" customWidth="1"/>
    <col min="14" max="14" width="13.28125" style="3" customWidth="1"/>
    <col min="15" max="15" width="9.140625" style="3" customWidth="1"/>
    <col min="16" max="16" width="9.140625" style="3" hidden="1" customWidth="1"/>
    <col min="17" max="17" width="13.00390625" style="3" customWidth="1"/>
    <col min="18" max="16384" width="9.140625" style="3" customWidth="1"/>
  </cols>
  <sheetData>
    <row r="1" spans="1:18" ht="21" thickBot="1">
      <c r="A1" s="349" t="s">
        <v>160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</row>
    <row r="2" spans="1:20" ht="15">
      <c r="A2" s="50" t="s">
        <v>80</v>
      </c>
      <c r="B2" s="307" t="s">
        <v>170</v>
      </c>
      <c r="C2" s="307"/>
      <c r="D2" s="307"/>
      <c r="E2" s="307"/>
      <c r="F2" s="308"/>
      <c r="G2" s="332" t="s">
        <v>87</v>
      </c>
      <c r="H2" s="333"/>
      <c r="I2" s="333"/>
      <c r="J2" s="333"/>
      <c r="K2" s="333"/>
      <c r="L2" s="333"/>
      <c r="M2" s="333"/>
      <c r="N2" s="334"/>
      <c r="O2" s="305" t="s">
        <v>104</v>
      </c>
      <c r="P2" s="94">
        <f>ROUND(B6/2,0)</f>
        <v>18450</v>
      </c>
      <c r="Q2" s="305" t="s">
        <v>103</v>
      </c>
      <c r="R2" s="328" t="s">
        <v>111</v>
      </c>
      <c r="S2" s="51"/>
      <c r="T2" s="51"/>
    </row>
    <row r="3" spans="1:20" ht="15.75" thickBot="1">
      <c r="A3" s="52" t="s">
        <v>81</v>
      </c>
      <c r="B3" s="295" t="s">
        <v>166</v>
      </c>
      <c r="C3" s="295"/>
      <c r="D3" s="295"/>
      <c r="E3" s="295"/>
      <c r="F3" s="309"/>
      <c r="G3" s="53"/>
      <c r="H3" s="54" t="s">
        <v>163</v>
      </c>
      <c r="I3" s="54" t="s">
        <v>13</v>
      </c>
      <c r="J3" s="54" t="s">
        <v>15</v>
      </c>
      <c r="K3" s="54" t="s">
        <v>86</v>
      </c>
      <c r="L3" s="54" t="s">
        <v>88</v>
      </c>
      <c r="M3" s="54" t="s">
        <v>89</v>
      </c>
      <c r="N3" s="54" t="str">
        <f>Sheet1!O3</f>
        <v>HOUSE
LOAN</v>
      </c>
      <c r="O3" s="306"/>
      <c r="P3" s="55">
        <f>B7/2</f>
        <v>19000</v>
      </c>
      <c r="Q3" s="306"/>
      <c r="R3" s="329"/>
      <c r="S3" s="51"/>
      <c r="T3" s="51"/>
    </row>
    <row r="4" spans="1:20" ht="15">
      <c r="A4" s="52" t="s">
        <v>82</v>
      </c>
      <c r="B4" s="295"/>
      <c r="C4" s="295"/>
      <c r="D4" s="295"/>
      <c r="E4" s="295"/>
      <c r="F4" s="309"/>
      <c r="G4" s="90">
        <v>43160</v>
      </c>
      <c r="H4" s="105">
        <f>ROUND((Sheet1!C4+Sheet1!D4)/10,0)</f>
        <v>3948</v>
      </c>
      <c r="I4" s="102">
        <v>3000</v>
      </c>
      <c r="J4" s="113">
        <v>0</v>
      </c>
      <c r="K4" s="103">
        <v>1500</v>
      </c>
      <c r="L4" s="103">
        <v>0</v>
      </c>
      <c r="M4" s="103">
        <v>0</v>
      </c>
      <c r="N4" s="103">
        <v>0</v>
      </c>
      <c r="O4" s="114">
        <v>0.07</v>
      </c>
      <c r="P4" s="115">
        <v>0</v>
      </c>
      <c r="Q4" s="116">
        <v>0</v>
      </c>
      <c r="R4" s="117">
        <v>0</v>
      </c>
      <c r="S4" s="51"/>
      <c r="T4" s="51"/>
    </row>
    <row r="5" spans="1:20" ht="15.75" thickBot="1">
      <c r="A5" s="52" t="s">
        <v>41</v>
      </c>
      <c r="B5" s="295"/>
      <c r="C5" s="330"/>
      <c r="D5" s="330"/>
      <c r="E5" s="330"/>
      <c r="F5" s="331"/>
      <c r="G5" s="91">
        <f>EDATE(G4,1)</f>
        <v>43191</v>
      </c>
      <c r="H5" s="105">
        <f>ROUND((Sheet1!C5+Sheet1!D5)/10,0)</f>
        <v>3948</v>
      </c>
      <c r="I5" s="108">
        <f>I4</f>
        <v>3000</v>
      </c>
      <c r="J5" s="113">
        <v>0</v>
      </c>
      <c r="K5" s="108">
        <f>K4</f>
        <v>1500</v>
      </c>
      <c r="L5" s="108">
        <f>L4</f>
        <v>0</v>
      </c>
      <c r="M5" s="108">
        <f>M4</f>
        <v>0</v>
      </c>
      <c r="N5" s="108">
        <f>N4</f>
        <v>0</v>
      </c>
      <c r="O5" s="114">
        <v>0.07</v>
      </c>
      <c r="P5" s="115"/>
      <c r="Q5" s="109">
        <f>Q4</f>
        <v>0</v>
      </c>
      <c r="R5" s="117">
        <v>0</v>
      </c>
      <c r="S5" s="51"/>
      <c r="T5" s="51"/>
    </row>
    <row r="6" spans="1:20" ht="15.75" customHeight="1">
      <c r="A6" s="52" t="s">
        <v>157</v>
      </c>
      <c r="B6" s="101">
        <v>36900</v>
      </c>
      <c r="C6" s="335" t="s">
        <v>128</v>
      </c>
      <c r="D6" s="336"/>
      <c r="E6" s="336"/>
      <c r="F6" s="337"/>
      <c r="G6" s="91">
        <f aca="true" t="shared" si="0" ref="G6:G15">EDATE(G5,1)</f>
        <v>43221</v>
      </c>
      <c r="H6" s="105">
        <f>ROUND((Sheet1!C6+Sheet1!D6)/10,0)</f>
        <v>3948</v>
      </c>
      <c r="I6" s="108">
        <f aca="true" t="shared" si="1" ref="I6:I14">I5</f>
        <v>3000</v>
      </c>
      <c r="J6" s="113">
        <v>0</v>
      </c>
      <c r="K6" s="108">
        <f aca="true" t="shared" si="2" ref="K6:K15">K5</f>
        <v>1500</v>
      </c>
      <c r="L6" s="108">
        <f aca="true" t="shared" si="3" ref="L6:L15">L5</f>
        <v>0</v>
      </c>
      <c r="M6" s="108">
        <f aca="true" t="shared" si="4" ref="M6:M15">M5</f>
        <v>0</v>
      </c>
      <c r="N6" s="108">
        <f aca="true" t="shared" si="5" ref="N6:N15">N5</f>
        <v>0</v>
      </c>
      <c r="O6" s="114">
        <v>0.07</v>
      </c>
      <c r="P6" s="115" t="s">
        <v>101</v>
      </c>
      <c r="Q6" s="109">
        <f aca="true" t="shared" si="6" ref="Q6:Q12">Q5</f>
        <v>0</v>
      </c>
      <c r="R6" s="117">
        <v>0</v>
      </c>
      <c r="S6" s="51"/>
      <c r="T6" s="51"/>
    </row>
    <row r="7" spans="1:20" ht="15.75" customHeight="1">
      <c r="A7" s="52" t="s">
        <v>158</v>
      </c>
      <c r="B7" s="43">
        <f>ROUND(B6+B6/100*3,-2)</f>
        <v>38000</v>
      </c>
      <c r="C7" s="338"/>
      <c r="D7" s="339"/>
      <c r="E7" s="339"/>
      <c r="F7" s="340"/>
      <c r="G7" s="91">
        <f t="shared" si="0"/>
        <v>43252</v>
      </c>
      <c r="H7" s="105">
        <f>ROUND((Sheet1!C7+Sheet1!D7)/10,0)</f>
        <v>3948</v>
      </c>
      <c r="I7" s="108">
        <f t="shared" si="1"/>
        <v>3000</v>
      </c>
      <c r="J7" s="113">
        <v>0</v>
      </c>
      <c r="K7" s="108">
        <f t="shared" si="2"/>
        <v>1500</v>
      </c>
      <c r="L7" s="108">
        <f t="shared" si="3"/>
        <v>0</v>
      </c>
      <c r="M7" s="108">
        <f t="shared" si="4"/>
        <v>0</v>
      </c>
      <c r="N7" s="108">
        <f t="shared" si="5"/>
        <v>0</v>
      </c>
      <c r="O7" s="114">
        <v>0.07</v>
      </c>
      <c r="P7" s="118" t="s">
        <v>128</v>
      </c>
      <c r="Q7" s="109">
        <f t="shared" si="6"/>
        <v>0</v>
      </c>
      <c r="R7" s="117">
        <v>0</v>
      </c>
      <c r="S7" s="51"/>
      <c r="T7" s="51"/>
    </row>
    <row r="8" spans="1:20" ht="15.75" customHeight="1">
      <c r="A8" s="52" t="s">
        <v>83</v>
      </c>
      <c r="B8" s="101">
        <v>6774</v>
      </c>
      <c r="C8" s="338"/>
      <c r="D8" s="339"/>
      <c r="E8" s="339"/>
      <c r="F8" s="340"/>
      <c r="G8" s="91">
        <f t="shared" si="0"/>
        <v>43282</v>
      </c>
      <c r="H8" s="105">
        <f>ROUND((Sheet1!C8+Sheet1!D8)/10,0)</f>
        <v>4066</v>
      </c>
      <c r="I8" s="102">
        <f>I7</f>
        <v>3000</v>
      </c>
      <c r="J8" s="113">
        <v>0</v>
      </c>
      <c r="K8" s="108">
        <f t="shared" si="2"/>
        <v>1500</v>
      </c>
      <c r="L8" s="108">
        <f t="shared" si="3"/>
        <v>0</v>
      </c>
      <c r="M8" s="108">
        <f t="shared" si="4"/>
        <v>0</v>
      </c>
      <c r="N8" s="108">
        <f t="shared" si="5"/>
        <v>0</v>
      </c>
      <c r="O8" s="119">
        <v>0.07</v>
      </c>
      <c r="P8" s="118" t="s">
        <v>129</v>
      </c>
      <c r="Q8" s="109">
        <f t="shared" si="6"/>
        <v>0</v>
      </c>
      <c r="R8" s="117">
        <v>0</v>
      </c>
      <c r="S8" s="51"/>
      <c r="T8" s="51"/>
    </row>
    <row r="9" spans="1:20" ht="15.75" customHeight="1">
      <c r="A9" s="52" t="s">
        <v>107</v>
      </c>
      <c r="B9" s="56">
        <f>E11</f>
        <v>0.05</v>
      </c>
      <c r="C9" s="341"/>
      <c r="D9" s="342"/>
      <c r="E9" s="342"/>
      <c r="F9" s="343"/>
      <c r="G9" s="91">
        <f t="shared" si="0"/>
        <v>43313</v>
      </c>
      <c r="H9" s="105">
        <f>ROUND((Sheet1!C9+Sheet1!D9)/10,0)</f>
        <v>4066</v>
      </c>
      <c r="I9" s="108">
        <f t="shared" si="1"/>
        <v>3000</v>
      </c>
      <c r="J9" s="113">
        <v>0</v>
      </c>
      <c r="K9" s="108">
        <f t="shared" si="2"/>
        <v>1500</v>
      </c>
      <c r="L9" s="108">
        <f t="shared" si="3"/>
        <v>0</v>
      </c>
      <c r="M9" s="108">
        <f t="shared" si="4"/>
        <v>0</v>
      </c>
      <c r="N9" s="108">
        <f t="shared" si="5"/>
        <v>0</v>
      </c>
      <c r="O9" s="114">
        <v>0.07</v>
      </c>
      <c r="P9" s="118" t="s">
        <v>130</v>
      </c>
      <c r="Q9" s="109">
        <f t="shared" si="6"/>
        <v>0</v>
      </c>
      <c r="R9" s="117">
        <v>0</v>
      </c>
      <c r="S9" s="51"/>
      <c r="T9" s="51"/>
    </row>
    <row r="10" spans="1:20" ht="15.75" thickBot="1">
      <c r="A10" s="52" t="s">
        <v>106</v>
      </c>
      <c r="B10" s="57">
        <v>0.07</v>
      </c>
      <c r="C10" s="292" t="s">
        <v>93</v>
      </c>
      <c r="D10" s="293"/>
      <c r="E10" s="293"/>
      <c r="F10" s="294"/>
      <c r="G10" s="91">
        <f t="shared" si="0"/>
        <v>43344</v>
      </c>
      <c r="H10" s="105">
        <f>ROUND((Sheet1!C10+Sheet1!D10)/10,0)</f>
        <v>4142</v>
      </c>
      <c r="I10" s="108">
        <f t="shared" si="1"/>
        <v>3000</v>
      </c>
      <c r="J10" s="113">
        <v>0</v>
      </c>
      <c r="K10" s="108">
        <f t="shared" si="2"/>
        <v>1500</v>
      </c>
      <c r="L10" s="108">
        <f t="shared" si="3"/>
        <v>0</v>
      </c>
      <c r="M10" s="108">
        <f t="shared" si="4"/>
        <v>0</v>
      </c>
      <c r="N10" s="108">
        <f t="shared" si="5"/>
        <v>0</v>
      </c>
      <c r="O10" s="114">
        <v>0.09</v>
      </c>
      <c r="P10" s="118" t="s">
        <v>141</v>
      </c>
      <c r="Q10" s="109">
        <f t="shared" si="6"/>
        <v>0</v>
      </c>
      <c r="R10" s="117">
        <v>0</v>
      </c>
      <c r="S10" s="51"/>
      <c r="T10" s="51"/>
    </row>
    <row r="11" spans="1:20" ht="15">
      <c r="A11" s="52" t="s">
        <v>105</v>
      </c>
      <c r="B11" s="57">
        <v>0.09</v>
      </c>
      <c r="C11" s="58" t="s">
        <v>116</v>
      </c>
      <c r="D11" s="111">
        <v>2017</v>
      </c>
      <c r="E11" s="112">
        <v>0.05</v>
      </c>
      <c r="F11" s="59"/>
      <c r="G11" s="91">
        <f t="shared" si="0"/>
        <v>43374</v>
      </c>
      <c r="H11" s="105">
        <f>ROUND((Sheet1!C11+Sheet1!D11)/10,0)</f>
        <v>4142</v>
      </c>
      <c r="I11" s="108">
        <f t="shared" si="1"/>
        <v>3000</v>
      </c>
      <c r="J11" s="113">
        <v>0</v>
      </c>
      <c r="K11" s="108">
        <f t="shared" si="2"/>
        <v>1500</v>
      </c>
      <c r="L11" s="108">
        <f t="shared" si="3"/>
        <v>0</v>
      </c>
      <c r="M11" s="108">
        <f t="shared" si="4"/>
        <v>0</v>
      </c>
      <c r="N11" s="108">
        <f t="shared" si="5"/>
        <v>0</v>
      </c>
      <c r="O11" s="114">
        <v>0.09</v>
      </c>
      <c r="P11" s="118" t="s">
        <v>142</v>
      </c>
      <c r="Q11" s="109">
        <f t="shared" si="6"/>
        <v>0</v>
      </c>
      <c r="R11" s="117">
        <v>0</v>
      </c>
      <c r="S11" s="51"/>
      <c r="T11" s="51"/>
    </row>
    <row r="12" spans="1:20" ht="15">
      <c r="A12" s="52" t="s">
        <v>84</v>
      </c>
      <c r="B12" s="101">
        <v>18450</v>
      </c>
      <c r="C12" s="60" t="s">
        <v>117</v>
      </c>
      <c r="D12" s="61">
        <f>D11+1</f>
        <v>2018</v>
      </c>
      <c r="E12" s="44">
        <v>0.07</v>
      </c>
      <c r="F12" s="59"/>
      <c r="G12" s="91">
        <f t="shared" si="0"/>
        <v>43405</v>
      </c>
      <c r="H12" s="105">
        <f>ROUND((Sheet1!C12+Sheet1!D12)/10,0)</f>
        <v>4142</v>
      </c>
      <c r="I12" s="108">
        <f t="shared" si="1"/>
        <v>3000</v>
      </c>
      <c r="J12" s="113">
        <v>0</v>
      </c>
      <c r="K12" s="108">
        <f t="shared" si="2"/>
        <v>1500</v>
      </c>
      <c r="L12" s="108">
        <f t="shared" si="3"/>
        <v>0</v>
      </c>
      <c r="M12" s="108">
        <f t="shared" si="4"/>
        <v>0</v>
      </c>
      <c r="N12" s="108">
        <f t="shared" si="5"/>
        <v>0</v>
      </c>
      <c r="O12" s="114">
        <v>0.09</v>
      </c>
      <c r="P12" s="118" t="s">
        <v>143</v>
      </c>
      <c r="Q12" s="109">
        <f t="shared" si="6"/>
        <v>0</v>
      </c>
      <c r="R12" s="117">
        <v>0</v>
      </c>
      <c r="S12" s="51"/>
      <c r="T12" s="51"/>
    </row>
    <row r="13" spans="1:20" ht="15.75" thickBot="1">
      <c r="A13" s="52" t="s">
        <v>85</v>
      </c>
      <c r="B13" s="121">
        <v>0.07</v>
      </c>
      <c r="C13" s="62" t="s">
        <v>118</v>
      </c>
      <c r="D13" s="63">
        <f>D12</f>
        <v>2018</v>
      </c>
      <c r="E13" s="45">
        <v>0.09</v>
      </c>
      <c r="F13" s="59"/>
      <c r="G13" s="91">
        <f t="shared" si="0"/>
        <v>43435</v>
      </c>
      <c r="H13" s="105">
        <f>ROUND((Sheet1!C13+Sheet1!D13)/10,0)</f>
        <v>4142</v>
      </c>
      <c r="I13" s="108">
        <f t="shared" si="1"/>
        <v>3000</v>
      </c>
      <c r="J13" s="113">
        <v>0</v>
      </c>
      <c r="K13" s="108">
        <f t="shared" si="2"/>
        <v>1500</v>
      </c>
      <c r="L13" s="108">
        <f t="shared" si="3"/>
        <v>0</v>
      </c>
      <c r="M13" s="108">
        <f t="shared" si="4"/>
        <v>0</v>
      </c>
      <c r="N13" s="108">
        <f t="shared" si="5"/>
        <v>0</v>
      </c>
      <c r="O13" s="114">
        <v>0.09</v>
      </c>
      <c r="P13" s="118" t="s">
        <v>144</v>
      </c>
      <c r="Q13" s="109">
        <f>Q12</f>
        <v>0</v>
      </c>
      <c r="R13" s="117">
        <v>0</v>
      </c>
      <c r="S13" s="51"/>
      <c r="T13" s="51"/>
    </row>
    <row r="14" spans="1:20" ht="15">
      <c r="A14" s="131" t="s">
        <v>168</v>
      </c>
      <c r="B14" s="132">
        <v>0.08</v>
      </c>
      <c r="C14" s="314" t="s">
        <v>159</v>
      </c>
      <c r="D14" s="314"/>
      <c r="E14" s="314"/>
      <c r="F14" s="315"/>
      <c r="G14" s="91">
        <f t="shared" si="0"/>
        <v>43466</v>
      </c>
      <c r="H14" s="105">
        <f>ROUND((Sheet1!C14+Sheet1!D14)/10,0)</f>
        <v>4142</v>
      </c>
      <c r="I14" s="108">
        <f t="shared" si="1"/>
        <v>3000</v>
      </c>
      <c r="J14" s="113">
        <v>0</v>
      </c>
      <c r="K14" s="108">
        <f t="shared" si="2"/>
        <v>1500</v>
      </c>
      <c r="L14" s="108">
        <f t="shared" si="3"/>
        <v>0</v>
      </c>
      <c r="M14" s="108">
        <f t="shared" si="4"/>
        <v>0</v>
      </c>
      <c r="N14" s="108">
        <f t="shared" si="5"/>
        <v>0</v>
      </c>
      <c r="O14" s="119">
        <v>0.09</v>
      </c>
      <c r="P14" s="120">
        <f>B10</f>
        <v>0.07</v>
      </c>
      <c r="Q14" s="109">
        <f>Q13</f>
        <v>0</v>
      </c>
      <c r="R14" s="117">
        <v>0</v>
      </c>
      <c r="S14" s="51"/>
      <c r="T14" s="51"/>
    </row>
    <row r="15" spans="1:20" ht="15">
      <c r="A15" s="131"/>
      <c r="B15" s="131"/>
      <c r="C15" s="316"/>
      <c r="D15" s="316"/>
      <c r="E15" s="316"/>
      <c r="F15" s="317"/>
      <c r="G15" s="91">
        <f t="shared" si="0"/>
        <v>43497</v>
      </c>
      <c r="H15" s="105">
        <f>ROUND((Sheet1!C15+Sheet1!D15)/10,0)</f>
        <v>4142</v>
      </c>
      <c r="I15" s="108">
        <f>I14</f>
        <v>3000</v>
      </c>
      <c r="J15" s="113">
        <v>0</v>
      </c>
      <c r="K15" s="108">
        <f t="shared" si="2"/>
        <v>1500</v>
      </c>
      <c r="L15" s="108">
        <f t="shared" si="3"/>
        <v>0</v>
      </c>
      <c r="M15" s="108">
        <f t="shared" si="4"/>
        <v>0</v>
      </c>
      <c r="N15" s="108">
        <f t="shared" si="5"/>
        <v>0</v>
      </c>
      <c r="O15" s="114">
        <v>0.09</v>
      </c>
      <c r="P15" s="120">
        <f>B11</f>
        <v>0.09</v>
      </c>
      <c r="Q15" s="109">
        <f>Q14</f>
        <v>0</v>
      </c>
      <c r="R15" s="117">
        <v>0</v>
      </c>
      <c r="S15" s="51"/>
      <c r="T15" s="51"/>
    </row>
    <row r="16" spans="1:20" ht="15.75" thickBot="1">
      <c r="A16" s="52" t="s">
        <v>91</v>
      </c>
      <c r="B16" s="126">
        <v>220</v>
      </c>
      <c r="C16" s="318"/>
      <c r="D16" s="316"/>
      <c r="E16" s="316"/>
      <c r="F16" s="317"/>
      <c r="G16" s="95"/>
      <c r="H16" s="96"/>
      <c r="I16" s="97"/>
      <c r="J16" s="97"/>
      <c r="K16" s="97"/>
      <c r="L16" s="97"/>
      <c r="M16" s="97"/>
      <c r="N16" s="97"/>
      <c r="O16" s="98"/>
      <c r="P16" s="99"/>
      <c r="Q16" s="66"/>
      <c r="R16" s="100"/>
      <c r="S16" s="51"/>
      <c r="T16" s="51"/>
    </row>
    <row r="17" spans="1:20" ht="15.75" thickBot="1">
      <c r="A17" s="52"/>
      <c r="B17" s="107"/>
      <c r="C17" s="319"/>
      <c r="D17" s="320"/>
      <c r="E17" s="320"/>
      <c r="F17" s="320"/>
      <c r="G17" s="346" t="s">
        <v>149</v>
      </c>
      <c r="H17" s="347"/>
      <c r="I17" s="347"/>
      <c r="J17" s="347"/>
      <c r="K17" s="347"/>
      <c r="L17" s="347"/>
      <c r="M17" s="347"/>
      <c r="N17" s="348"/>
      <c r="O17" s="65"/>
      <c r="P17" s="64"/>
      <c r="Q17" s="92">
        <v>0</v>
      </c>
      <c r="R17" s="93"/>
      <c r="S17" s="51"/>
      <c r="T17" s="51"/>
    </row>
    <row r="18" spans="1:20" ht="15" customHeight="1">
      <c r="A18" s="52" t="s">
        <v>110</v>
      </c>
      <c r="B18" s="126">
        <v>0</v>
      </c>
      <c r="C18" s="321" t="s">
        <v>169</v>
      </c>
      <c r="D18" s="322"/>
      <c r="E18" s="322"/>
      <c r="F18" s="322"/>
      <c r="G18" s="52" t="s">
        <v>26</v>
      </c>
      <c r="H18" s="295">
        <v>40000</v>
      </c>
      <c r="I18" s="309"/>
      <c r="J18" s="297" t="s">
        <v>145</v>
      </c>
      <c r="K18" s="298"/>
      <c r="L18" s="298"/>
      <c r="M18" s="298"/>
      <c r="N18" s="67">
        <f>SUM(H18:I28)</f>
        <v>168296</v>
      </c>
      <c r="O18" s="68"/>
      <c r="P18" s="68"/>
      <c r="Q18" s="68"/>
      <c r="R18" s="51"/>
      <c r="S18" s="51"/>
      <c r="T18" s="51"/>
    </row>
    <row r="19" spans="1:20" ht="15" customHeight="1">
      <c r="A19" s="290"/>
      <c r="B19" s="291"/>
      <c r="C19" s="323"/>
      <c r="D19" s="324"/>
      <c r="E19" s="324"/>
      <c r="F19" s="324"/>
      <c r="G19" s="52" t="s">
        <v>34</v>
      </c>
      <c r="H19" s="295">
        <v>0</v>
      </c>
      <c r="I19" s="309"/>
      <c r="J19" s="299" t="s">
        <v>162</v>
      </c>
      <c r="K19" s="300"/>
      <c r="L19" s="300"/>
      <c r="M19" s="300"/>
      <c r="N19" s="129">
        <f>Sheet2!I39</f>
        <v>5897</v>
      </c>
      <c r="O19" s="68"/>
      <c r="P19" s="68"/>
      <c r="Q19" s="68"/>
      <c r="R19" s="51"/>
      <c r="S19" s="51"/>
      <c r="T19" s="51"/>
    </row>
    <row r="20" spans="1:20" ht="15" customHeight="1">
      <c r="A20" s="52" t="s">
        <v>92</v>
      </c>
      <c r="B20" s="43" t="s">
        <v>129</v>
      </c>
      <c r="C20" s="323"/>
      <c r="D20" s="324"/>
      <c r="E20" s="324"/>
      <c r="F20" s="324"/>
      <c r="G20" s="52" t="s">
        <v>28</v>
      </c>
      <c r="H20" s="295">
        <v>0</v>
      </c>
      <c r="I20" s="309"/>
      <c r="J20" s="301" t="s">
        <v>147</v>
      </c>
      <c r="K20" s="302"/>
      <c r="L20" s="302"/>
      <c r="M20" s="302"/>
      <c r="N20" s="69">
        <f>Sheet2!H24</f>
        <v>363412</v>
      </c>
      <c r="O20" s="68"/>
      <c r="P20" s="68"/>
      <c r="Q20" s="68"/>
      <c r="R20" s="51"/>
      <c r="S20" s="51"/>
      <c r="T20" s="51"/>
    </row>
    <row r="21" spans="1:20" ht="15" customHeight="1" thickBot="1">
      <c r="A21" s="52" t="s">
        <v>93</v>
      </c>
      <c r="B21" s="43" t="s">
        <v>128</v>
      </c>
      <c r="C21" s="323"/>
      <c r="D21" s="324"/>
      <c r="E21" s="324"/>
      <c r="F21" s="324"/>
      <c r="G21" s="52" t="s">
        <v>38</v>
      </c>
      <c r="H21" s="295">
        <v>25000</v>
      </c>
      <c r="I21" s="309"/>
      <c r="J21" s="303" t="s">
        <v>146</v>
      </c>
      <c r="K21" s="304"/>
      <c r="L21" s="304"/>
      <c r="M21" s="304"/>
      <c r="N21" s="110">
        <f>ROUND(Sheet2!H48+Sheet2!H48/100*3,0)</f>
        <v>5841</v>
      </c>
      <c r="O21" s="68"/>
      <c r="P21" s="68"/>
      <c r="Q21" s="68"/>
      <c r="R21" s="51"/>
      <c r="S21" s="51"/>
      <c r="T21" s="51"/>
    </row>
    <row r="22" spans="1:20" ht="15.75" customHeight="1">
      <c r="A22" s="52" t="s">
        <v>137</v>
      </c>
      <c r="B22" s="42">
        <v>0.02</v>
      </c>
      <c r="C22" s="323"/>
      <c r="D22" s="324"/>
      <c r="E22" s="324"/>
      <c r="F22" s="324"/>
      <c r="G22" s="52" t="s">
        <v>29</v>
      </c>
      <c r="H22" s="295">
        <v>0</v>
      </c>
      <c r="I22" s="296"/>
      <c r="J22" s="70"/>
      <c r="K22" s="68"/>
      <c r="L22" s="68"/>
      <c r="M22" s="68"/>
      <c r="N22" s="71"/>
      <c r="O22" s="68"/>
      <c r="P22" s="68"/>
      <c r="Q22" s="68"/>
      <c r="R22" s="51"/>
      <c r="S22" s="51"/>
      <c r="T22" s="51"/>
    </row>
    <row r="23" spans="1:20" ht="15.75" customHeight="1" thickBot="1">
      <c r="A23" s="72" t="s">
        <v>138</v>
      </c>
      <c r="B23" s="46">
        <v>0.02</v>
      </c>
      <c r="C23" s="325"/>
      <c r="D23" s="326"/>
      <c r="E23" s="326"/>
      <c r="F23" s="326"/>
      <c r="G23" s="52" t="s">
        <v>32</v>
      </c>
      <c r="H23" s="295">
        <v>0</v>
      </c>
      <c r="I23" s="296"/>
      <c r="J23" s="70"/>
      <c r="K23" s="68"/>
      <c r="L23" s="68"/>
      <c r="M23" s="68"/>
      <c r="N23" s="71"/>
      <c r="O23" s="68"/>
      <c r="P23" s="68"/>
      <c r="Q23" s="68"/>
      <c r="R23" s="51"/>
      <c r="S23" s="51"/>
      <c r="T23" s="51"/>
    </row>
    <row r="24" spans="1:20" ht="15.75" thickBot="1">
      <c r="A24" s="73" t="s">
        <v>164</v>
      </c>
      <c r="B24" s="81">
        <v>2</v>
      </c>
      <c r="C24" s="312" t="s">
        <v>102</v>
      </c>
      <c r="D24" s="313"/>
      <c r="E24" s="313"/>
      <c r="F24" s="313"/>
      <c r="G24" s="52" t="s">
        <v>163</v>
      </c>
      <c r="H24" s="286">
        <f>Sheet1!Q29</f>
        <v>49076</v>
      </c>
      <c r="I24" s="287"/>
      <c r="J24" s="74"/>
      <c r="K24" s="74"/>
      <c r="L24" s="74"/>
      <c r="M24" s="74"/>
      <c r="N24" s="75"/>
      <c r="O24" s="51"/>
      <c r="P24" s="51">
        <v>2017</v>
      </c>
      <c r="Q24" s="51"/>
      <c r="R24" s="51"/>
      <c r="S24" s="51"/>
      <c r="T24" s="51"/>
    </row>
    <row r="25" spans="1:20" ht="15.75" thickBot="1">
      <c r="A25" s="73" t="s">
        <v>165</v>
      </c>
      <c r="B25" s="127">
        <v>2</v>
      </c>
      <c r="C25" s="310" t="s">
        <v>102</v>
      </c>
      <c r="D25" s="311"/>
      <c r="E25" s="311"/>
      <c r="F25" s="311"/>
      <c r="G25" s="76" t="s">
        <v>13</v>
      </c>
      <c r="H25" s="286">
        <f>Sheet1!Q28</f>
        <v>36000</v>
      </c>
      <c r="I25" s="287"/>
      <c r="J25" s="74"/>
      <c r="K25" s="74"/>
      <c r="L25" s="74"/>
      <c r="M25" s="74"/>
      <c r="N25" s="75"/>
      <c r="O25" s="51"/>
      <c r="P25" s="51">
        <v>2018</v>
      </c>
      <c r="Q25" s="51"/>
      <c r="R25" s="51"/>
      <c r="S25" s="51"/>
      <c r="T25" s="51"/>
    </row>
    <row r="26" spans="1:18" ht="15.75" thickBot="1">
      <c r="A26" s="77" t="s">
        <v>36</v>
      </c>
      <c r="B26" s="124">
        <v>0</v>
      </c>
      <c r="C26" s="51"/>
      <c r="D26" s="51"/>
      <c r="E26" s="51"/>
      <c r="F26" s="51"/>
      <c r="G26" s="76" t="s">
        <v>148</v>
      </c>
      <c r="H26" s="286">
        <f>Sheet1!Q31</f>
        <v>18000</v>
      </c>
      <c r="I26" s="287"/>
      <c r="J26" s="78"/>
      <c r="K26" s="78"/>
      <c r="L26" s="78"/>
      <c r="M26" s="78"/>
      <c r="N26" s="79"/>
      <c r="O26" s="51"/>
      <c r="P26" s="51">
        <v>2019</v>
      </c>
      <c r="Q26" s="51"/>
      <c r="R26" s="51"/>
    </row>
    <row r="27" spans="1:18" ht="15.75" thickBot="1">
      <c r="A27" s="80" t="s">
        <v>154</v>
      </c>
      <c r="B27" s="125">
        <v>0</v>
      </c>
      <c r="C27" s="51"/>
      <c r="D27" s="51"/>
      <c r="E27" s="51"/>
      <c r="F27" s="51"/>
      <c r="G27" s="82" t="s">
        <v>27</v>
      </c>
      <c r="H27" s="286">
        <f>Sheet1!V29</f>
        <v>0</v>
      </c>
      <c r="I27" s="287"/>
      <c r="J27" s="78"/>
      <c r="K27" s="78"/>
      <c r="L27" s="78"/>
      <c r="M27" s="78"/>
      <c r="N27" s="79"/>
      <c r="O27" s="51"/>
      <c r="P27" s="51">
        <v>2020</v>
      </c>
      <c r="Q27" s="51"/>
      <c r="R27" s="51"/>
    </row>
    <row r="28" spans="1:18" ht="15.75" thickBot="1">
      <c r="A28" s="51"/>
      <c r="B28" s="51"/>
      <c r="C28" s="51"/>
      <c r="D28" s="51"/>
      <c r="E28" s="51"/>
      <c r="F28" s="51"/>
      <c r="G28" s="83" t="s">
        <v>35</v>
      </c>
      <c r="H28" s="288">
        <f>Sheet1!V32</f>
        <v>220</v>
      </c>
      <c r="I28" s="289"/>
      <c r="J28" s="84"/>
      <c r="K28" s="84"/>
      <c r="L28" s="84"/>
      <c r="M28" s="84"/>
      <c r="N28" s="85"/>
      <c r="O28" s="51"/>
      <c r="P28" s="51"/>
      <c r="Q28" s="51"/>
      <c r="R28" s="51"/>
    </row>
    <row r="29" spans="1:18" ht="21">
      <c r="A29" s="283" t="s">
        <v>135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5"/>
      <c r="M29" s="51"/>
      <c r="N29" s="51"/>
      <c r="O29" s="51"/>
      <c r="P29" s="51">
        <v>2021</v>
      </c>
      <c r="Q29" s="51"/>
      <c r="R29" s="51"/>
    </row>
    <row r="30" spans="1:16" ht="45">
      <c r="A30" s="135"/>
      <c r="B30" s="136" t="s">
        <v>132</v>
      </c>
      <c r="C30" s="136" t="s">
        <v>8</v>
      </c>
      <c r="D30" s="136" t="s">
        <v>133</v>
      </c>
      <c r="E30" s="136" t="s">
        <v>12</v>
      </c>
      <c r="F30" s="136" t="s">
        <v>163</v>
      </c>
      <c r="G30" s="137"/>
      <c r="H30" s="137"/>
      <c r="I30" s="133" t="s">
        <v>134</v>
      </c>
      <c r="J30" s="136" t="s">
        <v>12</v>
      </c>
      <c r="K30" s="134" t="s">
        <v>39</v>
      </c>
      <c r="L30" s="138" t="s">
        <v>139</v>
      </c>
      <c r="P30" s="51">
        <v>2022</v>
      </c>
    </row>
    <row r="31" spans="1:16" ht="26.25" customHeight="1">
      <c r="A31" s="139" t="s">
        <v>136</v>
      </c>
      <c r="B31" s="140"/>
      <c r="C31" s="140"/>
      <c r="D31" s="140"/>
      <c r="E31" s="141">
        <f>B31+C31+D31</f>
        <v>0</v>
      </c>
      <c r="F31" s="140">
        <v>0</v>
      </c>
      <c r="G31" s="142"/>
      <c r="H31" s="142"/>
      <c r="I31" s="140"/>
      <c r="J31" s="141">
        <f>F31+G31+H31+I31</f>
        <v>0</v>
      </c>
      <c r="K31" s="137">
        <f>F31+G31+H31+I31</f>
        <v>0</v>
      </c>
      <c r="L31" s="138">
        <f>E31-K31</f>
        <v>0</v>
      </c>
      <c r="P31" s="51">
        <v>2023</v>
      </c>
    </row>
    <row r="32" spans="1:16" ht="30">
      <c r="A32" s="139" t="s">
        <v>150</v>
      </c>
      <c r="B32" s="140"/>
      <c r="C32" s="140"/>
      <c r="D32" s="140"/>
      <c r="E32" s="141">
        <f>B32+C32+D32</f>
        <v>0</v>
      </c>
      <c r="F32" s="140">
        <v>0</v>
      </c>
      <c r="G32" s="142"/>
      <c r="H32" s="142"/>
      <c r="I32" s="140"/>
      <c r="J32" s="141">
        <f>F32+G32+H32+I32</f>
        <v>0</v>
      </c>
      <c r="K32" s="137">
        <f>F32+G32+H32+I32</f>
        <v>0</v>
      </c>
      <c r="L32" s="138">
        <f>E32-K32</f>
        <v>0</v>
      </c>
      <c r="P32" s="51">
        <v>2024</v>
      </c>
    </row>
    <row r="33" spans="1:16" ht="30">
      <c r="A33" s="139" t="s">
        <v>151</v>
      </c>
      <c r="B33" s="140"/>
      <c r="C33" s="140"/>
      <c r="D33" s="140"/>
      <c r="E33" s="141">
        <f>B33+C33+D33</f>
        <v>0</v>
      </c>
      <c r="F33" s="140">
        <v>0</v>
      </c>
      <c r="G33" s="142"/>
      <c r="H33" s="142"/>
      <c r="I33" s="140"/>
      <c r="J33" s="141">
        <f>F33+G33+H33+I33</f>
        <v>0</v>
      </c>
      <c r="K33" s="137">
        <f>F33+G33+H33+I33</f>
        <v>0</v>
      </c>
      <c r="L33" s="138">
        <f>E33-K33</f>
        <v>0</v>
      </c>
      <c r="P33" s="51">
        <v>2025</v>
      </c>
    </row>
    <row r="34" spans="1:16" ht="30">
      <c r="A34" s="139" t="s">
        <v>152</v>
      </c>
      <c r="B34" s="140"/>
      <c r="C34" s="140"/>
      <c r="D34" s="140"/>
      <c r="E34" s="141">
        <f>B34+C34+D34</f>
        <v>0</v>
      </c>
      <c r="F34" s="140">
        <v>0</v>
      </c>
      <c r="G34" s="142"/>
      <c r="H34" s="142"/>
      <c r="I34" s="140"/>
      <c r="J34" s="141">
        <f>F34+G34+H34+I34</f>
        <v>0</v>
      </c>
      <c r="K34" s="137">
        <f>F34+G34+H34+I34</f>
        <v>0</v>
      </c>
      <c r="L34" s="138">
        <f>E34-K34</f>
        <v>0</v>
      </c>
      <c r="P34" s="51">
        <v>2026</v>
      </c>
    </row>
    <row r="35" spans="1:12" ht="28.5" customHeight="1" thickBot="1">
      <c r="A35" s="143" t="s">
        <v>153</v>
      </c>
      <c r="B35" s="144"/>
      <c r="C35" s="144"/>
      <c r="D35" s="144"/>
      <c r="E35" s="145">
        <f>B35+C35+D35</f>
        <v>0</v>
      </c>
      <c r="F35" s="144">
        <v>0</v>
      </c>
      <c r="G35" s="146"/>
      <c r="H35" s="146"/>
      <c r="I35" s="144"/>
      <c r="J35" s="145">
        <f>F35+G35+H35+I35</f>
        <v>0</v>
      </c>
      <c r="K35" s="147">
        <f>F35+G35+H35+I35</f>
        <v>0</v>
      </c>
      <c r="L35" s="148">
        <f>E35-K35</f>
        <v>0</v>
      </c>
    </row>
    <row r="36" spans="1:12" s="2" customFormat="1" ht="28.5" customHeight="1" thickBot="1">
      <c r="A36" s="86"/>
      <c r="B36" s="87"/>
      <c r="C36" s="87"/>
      <c r="D36" s="87"/>
      <c r="E36" s="88"/>
      <c r="F36" s="87"/>
      <c r="G36" s="87"/>
      <c r="H36" s="87"/>
      <c r="I36" s="87"/>
      <c r="J36" s="88"/>
      <c r="K36" s="88"/>
      <c r="L36" s="88"/>
    </row>
    <row r="37" spans="1:5" ht="15">
      <c r="A37" s="344" t="s">
        <v>53</v>
      </c>
      <c r="B37" s="345"/>
      <c r="C37" s="345"/>
      <c r="D37" s="345"/>
      <c r="E37" s="89"/>
    </row>
    <row r="38" spans="1:5" ht="15">
      <c r="A38" s="327" t="s">
        <v>56</v>
      </c>
      <c r="B38" s="162"/>
      <c r="C38" s="162"/>
      <c r="D38" s="162"/>
      <c r="E38" s="122"/>
    </row>
    <row r="39" spans="1:5" ht="15">
      <c r="A39" s="327" t="s">
        <v>57</v>
      </c>
      <c r="B39" s="162"/>
      <c r="C39" s="162"/>
      <c r="D39" s="162"/>
      <c r="E39" s="122"/>
    </row>
    <row r="40" spans="1:5" ht="15">
      <c r="A40" s="327" t="s">
        <v>58</v>
      </c>
      <c r="B40" s="162"/>
      <c r="C40" s="162"/>
      <c r="D40" s="162"/>
      <c r="E40" s="122"/>
    </row>
    <row r="41" spans="1:5" ht="15">
      <c r="A41" s="327" t="s">
        <v>140</v>
      </c>
      <c r="B41" s="162"/>
      <c r="C41" s="162"/>
      <c r="D41" s="162"/>
      <c r="E41" s="122"/>
    </row>
    <row r="42" spans="1:5" ht="15">
      <c r="A42" s="327" t="s">
        <v>59</v>
      </c>
      <c r="B42" s="162"/>
      <c r="C42" s="162"/>
      <c r="D42" s="162"/>
      <c r="E42" s="122">
        <v>0</v>
      </c>
    </row>
    <row r="43" spans="1:5" ht="15">
      <c r="A43" s="327" t="s">
        <v>122</v>
      </c>
      <c r="B43" s="162"/>
      <c r="C43" s="162"/>
      <c r="D43" s="162"/>
      <c r="E43" s="122"/>
    </row>
    <row r="44" spans="1:5" ht="15">
      <c r="A44" s="350" t="s">
        <v>167</v>
      </c>
      <c r="B44" s="154"/>
      <c r="C44" s="154"/>
      <c r="D44" s="155"/>
      <c r="E44" s="122"/>
    </row>
    <row r="45" spans="1:5" ht="15.75" thickBot="1">
      <c r="A45" s="351" t="s">
        <v>60</v>
      </c>
      <c r="B45" s="352"/>
      <c r="C45" s="352"/>
      <c r="D45" s="352"/>
      <c r="E45" s="123"/>
    </row>
  </sheetData>
  <sheetProtection password="C751" sheet="1"/>
  <mergeCells count="42">
    <mergeCell ref="A37:D37"/>
    <mergeCell ref="G17:N17"/>
    <mergeCell ref="A1:R1"/>
    <mergeCell ref="A44:D44"/>
    <mergeCell ref="A45:D45"/>
    <mergeCell ref="A38:D38"/>
    <mergeCell ref="A39:D39"/>
    <mergeCell ref="A40:D40"/>
    <mergeCell ref="A41:D41"/>
    <mergeCell ref="A42:D42"/>
    <mergeCell ref="A43:D43"/>
    <mergeCell ref="Q2:Q3"/>
    <mergeCell ref="H20:I20"/>
    <mergeCell ref="H19:I19"/>
    <mergeCell ref="R2:R3"/>
    <mergeCell ref="B5:F5"/>
    <mergeCell ref="G2:N2"/>
    <mergeCell ref="H18:I18"/>
    <mergeCell ref="C6:F9"/>
    <mergeCell ref="B4:F4"/>
    <mergeCell ref="O2:O3"/>
    <mergeCell ref="B2:F2"/>
    <mergeCell ref="B3:F3"/>
    <mergeCell ref="C25:F25"/>
    <mergeCell ref="C24:F24"/>
    <mergeCell ref="H23:I23"/>
    <mergeCell ref="H21:I21"/>
    <mergeCell ref="C14:F17"/>
    <mergeCell ref="C18:F23"/>
    <mergeCell ref="H24:I24"/>
    <mergeCell ref="C10:F10"/>
    <mergeCell ref="H22:I22"/>
    <mergeCell ref="J18:M18"/>
    <mergeCell ref="J19:M19"/>
    <mergeCell ref="J20:M20"/>
    <mergeCell ref="J21:M21"/>
    <mergeCell ref="A29:L29"/>
    <mergeCell ref="H25:I25"/>
    <mergeCell ref="H26:I26"/>
    <mergeCell ref="H27:I27"/>
    <mergeCell ref="H28:I28"/>
    <mergeCell ref="A19:B19"/>
  </mergeCells>
  <dataValidations count="2">
    <dataValidation type="list" allowBlank="1" showInputMessage="1" showErrorMessage="1" sqref="B13">
      <formula1>$P$14:$P$15</formula1>
    </dataValidation>
    <dataValidation type="list" allowBlank="1" showInputMessage="1" showErrorMessage="1" sqref="B12">
      <formula1>$P$2:$P$4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I5:I8 K5:K15 L5:L15 M5:M15 N5:N15 I9:I14 Q5:Q1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SONI</dc:creator>
  <cp:keywords/>
  <dc:description/>
  <cp:lastModifiedBy>charbhuja computer</cp:lastModifiedBy>
  <cp:lastPrinted>2017-12-15T15:54:06Z</cp:lastPrinted>
  <dcterms:created xsi:type="dcterms:W3CDTF">2012-12-22T04:20:24Z</dcterms:created>
  <dcterms:modified xsi:type="dcterms:W3CDTF">2018-12-18T08:35:01Z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