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325"/>
  <workbookPr filterPrivacy="1" codeName="ThisWorkbook" defaultThemeVersion="124226"/>
  <xr:revisionPtr revIDLastSave="0" documentId="13_ncr:1_{3C02FDE4-134E-4804-8A27-0C96EE7A8E66}" xr6:coauthVersionLast="45" xr6:coauthVersionMax="45" xr10:uidLastSave="{00000000-0000-0000-0000-000000000000}"/>
  <bookViews>
    <workbookView xWindow="-120" yWindow="-120" windowWidth="20640" windowHeight="11160" tabRatio="825" xr2:uid="{00000000-000D-0000-FFFF-FFFF00000000}"/>
  </bookViews>
  <sheets>
    <sheet name="NIRDESH" sheetId="23" r:id="rId1"/>
    <sheet name="HOME" sheetId="8" r:id="rId2"/>
    <sheet name="PROFILE" sheetId="3" r:id="rId3"/>
    <sheet name="STATUS" sheetId="24" r:id="rId4"/>
    <sheet name="AWAKASH" sheetId="18" r:id="rId5"/>
    <sheet name="DALLY" sheetId="9" r:id="rId6"/>
    <sheet name="STUDENT" sheetId="10" r:id="rId7"/>
    <sheet name="DATA" sheetId="4" r:id="rId8"/>
    <sheet name="PAYMENT" sheetId="16" r:id="rId9"/>
    <sheet name="REGISTER" sheetId="19" r:id="rId10"/>
    <sheet name="MONTHLY" sheetId="1" r:id="rId11"/>
    <sheet name="SAMEKIT" sheetId="6" r:id="rId12"/>
    <sheet name="PARCHAGE" sheetId="20" r:id="rId13"/>
    <sheet name="BILL" sheetId="17" r:id="rId14"/>
    <sheet name="BHUGTAN" sheetId="21" r:id="rId15"/>
  </sheets>
  <definedNames>
    <definedName name="CCH">OFFSET(STATUS!$F$16,,,COUNTIF(STATUS!$F$16:$F$24,"?*"))</definedName>
    <definedName name="CLASS">REGISTER!$A$1:$A$2</definedName>
    <definedName name="MONTH">OFFSET(HOME!$D$7,,,COUNTIF(HOME!$D$7:$D$18,"?*"))</definedName>
    <definedName name="_xlnm.Print_Area" localSheetId="14">BHUGTAN!$A$1:$AK$19</definedName>
    <definedName name="_xlnm.Print_Area" localSheetId="10">MONTHLY!$A$1:$X$56</definedName>
    <definedName name="SCHOOL">OFFSET(#REF!,,,COUNTIF(#REF!,"?*"))</definedName>
    <definedName name="YES">DALLY!$F$27:$F$32</definedName>
    <definedName name="सप्लायर">DALLY!$C$4:$C$6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U18" i="24" l="1"/>
  <c r="S2" i="24"/>
  <c r="S3" i="24" s="1"/>
  <c r="S5" i="24" s="1"/>
  <c r="S4" i="24" l="1"/>
  <c r="S7" i="24" s="1"/>
  <c r="T7" i="24" s="1"/>
  <c r="E24" i="24" l="1"/>
  <c r="E23" i="24"/>
  <c r="E22" i="24"/>
  <c r="E21" i="24"/>
  <c r="E20" i="24"/>
  <c r="E19" i="24"/>
  <c r="E18" i="24"/>
  <c r="E17" i="24"/>
  <c r="E16" i="24"/>
  <c r="G5" i="21" l="1"/>
  <c r="G3" i="21" l="1"/>
  <c r="P1" i="21" s="1"/>
  <c r="R11" i="17" l="1"/>
  <c r="Q11" i="17"/>
  <c r="CW2" i="17" l="1"/>
  <c r="W7" i="20"/>
  <c r="W8" i="20" s="1"/>
  <c r="W9" i="20" s="1"/>
  <c r="W10" i="20" s="1"/>
  <c r="W11" i="20" s="1"/>
  <c r="W12" i="20" s="1"/>
  <c r="W13" i="20" s="1"/>
  <c r="W14" i="20" s="1"/>
  <c r="W15" i="20" s="1"/>
  <c r="W16" i="20" s="1"/>
  <c r="W17" i="20" s="1"/>
  <c r="V7" i="20"/>
  <c r="V8" i="20" s="1"/>
  <c r="V9" i="20" s="1"/>
  <c r="V10" i="20" s="1"/>
  <c r="V11" i="20" s="1"/>
  <c r="V12" i="20" s="1"/>
  <c r="V13" i="20" s="1"/>
  <c r="V14" i="20" s="1"/>
  <c r="V15" i="20" s="1"/>
  <c r="V16" i="20" s="1"/>
  <c r="V17" i="20" s="1"/>
  <c r="U7" i="20"/>
  <c r="U8" i="20" s="1"/>
  <c r="U9" i="20" s="1"/>
  <c r="U10" i="20" s="1"/>
  <c r="U11" i="20" s="1"/>
  <c r="U12" i="20" s="1"/>
  <c r="U13" i="20" s="1"/>
  <c r="U14" i="20" s="1"/>
  <c r="U15" i="20" s="1"/>
  <c r="U16" i="20" s="1"/>
  <c r="U17" i="20" s="1"/>
  <c r="T7" i="20"/>
  <c r="T8" i="20" s="1"/>
  <c r="T9" i="20" s="1"/>
  <c r="T10" i="20" s="1"/>
  <c r="T11" i="20" s="1"/>
  <c r="T12" i="20" s="1"/>
  <c r="T13" i="20" s="1"/>
  <c r="T14" i="20" s="1"/>
  <c r="T15" i="20" s="1"/>
  <c r="T16" i="20" s="1"/>
  <c r="T17" i="20" s="1"/>
  <c r="S7" i="20"/>
  <c r="S8" i="20" s="1"/>
  <c r="S9" i="20" s="1"/>
  <c r="S10" i="20" s="1"/>
  <c r="S11" i="20" s="1"/>
  <c r="S12" i="20" s="1"/>
  <c r="S13" i="20" s="1"/>
  <c r="S14" i="20" s="1"/>
  <c r="S15" i="20" s="1"/>
  <c r="S16" i="20" s="1"/>
  <c r="S17" i="20" s="1"/>
  <c r="R7" i="20"/>
  <c r="R8" i="20" s="1"/>
  <c r="R9" i="20" s="1"/>
  <c r="R10" i="20" s="1"/>
  <c r="R11" i="20" s="1"/>
  <c r="R12" i="20" s="1"/>
  <c r="R13" i="20" s="1"/>
  <c r="R14" i="20" s="1"/>
  <c r="R15" i="20" s="1"/>
  <c r="R16" i="20" s="1"/>
  <c r="R17" i="20" s="1"/>
  <c r="Q7" i="20"/>
  <c r="Q8" i="20" s="1"/>
  <c r="Q9" i="20" s="1"/>
  <c r="Q10" i="20" s="1"/>
  <c r="Q11" i="20" s="1"/>
  <c r="Q12" i="20" s="1"/>
  <c r="Q13" i="20" s="1"/>
  <c r="Q14" i="20" s="1"/>
  <c r="Q15" i="20" s="1"/>
  <c r="Q16" i="20" s="1"/>
  <c r="Q17" i="20" s="1"/>
  <c r="P7" i="20"/>
  <c r="P8" i="20" s="1"/>
  <c r="P9" i="20" s="1"/>
  <c r="P10" i="20" s="1"/>
  <c r="P11" i="20" s="1"/>
  <c r="P12" i="20" s="1"/>
  <c r="P13" i="20" s="1"/>
  <c r="P14" i="20" s="1"/>
  <c r="P15" i="20" s="1"/>
  <c r="P16" i="20" s="1"/>
  <c r="P17" i="20" s="1"/>
  <c r="O7" i="20"/>
  <c r="O8" i="20" s="1"/>
  <c r="O9" i="20" s="1"/>
  <c r="O10" i="20" s="1"/>
  <c r="O11" i="20" s="1"/>
  <c r="O12" i="20" s="1"/>
  <c r="O13" i="20" s="1"/>
  <c r="O14" i="20" s="1"/>
  <c r="O15" i="20" s="1"/>
  <c r="O16" i="20" s="1"/>
  <c r="O17" i="20" s="1"/>
  <c r="N7" i="20"/>
  <c r="N8" i="20" s="1"/>
  <c r="N9" i="20" s="1"/>
  <c r="N10" i="20" s="1"/>
  <c r="N11" i="20" s="1"/>
  <c r="N12" i="20" s="1"/>
  <c r="N13" i="20" s="1"/>
  <c r="N14" i="20" s="1"/>
  <c r="N15" i="20" s="1"/>
  <c r="N16" i="20" s="1"/>
  <c r="N17" i="20" s="1"/>
  <c r="M7" i="20"/>
  <c r="M8" i="20" s="1"/>
  <c r="M9" i="20" s="1"/>
  <c r="M10" i="20" s="1"/>
  <c r="M11" i="20" s="1"/>
  <c r="M12" i="20" s="1"/>
  <c r="M13" i="20" s="1"/>
  <c r="M14" i="20" s="1"/>
  <c r="M15" i="20" s="1"/>
  <c r="M16" i="20" s="1"/>
  <c r="M17" i="20" s="1"/>
  <c r="L7" i="20"/>
  <c r="L8" i="20" s="1"/>
  <c r="L9" i="20" s="1"/>
  <c r="L10" i="20" s="1"/>
  <c r="L11" i="20" s="1"/>
  <c r="L12" i="20" s="1"/>
  <c r="L13" i="20" s="1"/>
  <c r="L14" i="20" s="1"/>
  <c r="L15" i="20" s="1"/>
  <c r="L16" i="20" s="1"/>
  <c r="L17" i="20" s="1"/>
  <c r="K7" i="20"/>
  <c r="K8" i="20" s="1"/>
  <c r="K9" i="20" s="1"/>
  <c r="K10" i="20" s="1"/>
  <c r="K11" i="20" s="1"/>
  <c r="K12" i="20" s="1"/>
  <c r="K13" i="20" s="1"/>
  <c r="K14" i="20" s="1"/>
  <c r="K15" i="20" s="1"/>
  <c r="K16" i="20" s="1"/>
  <c r="K17" i="20" s="1"/>
  <c r="J7" i="20"/>
  <c r="J8" i="20" s="1"/>
  <c r="J9" i="20" s="1"/>
  <c r="J10" i="20" s="1"/>
  <c r="J11" i="20" s="1"/>
  <c r="J12" i="20" s="1"/>
  <c r="J13" i="20" s="1"/>
  <c r="J14" i="20" s="1"/>
  <c r="J15" i="20" s="1"/>
  <c r="J16" i="20" s="1"/>
  <c r="J17" i="20" s="1"/>
  <c r="I7" i="20"/>
  <c r="I8" i="20" s="1"/>
  <c r="I9" i="20" s="1"/>
  <c r="I10" i="20" s="1"/>
  <c r="I11" i="20" s="1"/>
  <c r="I12" i="20" s="1"/>
  <c r="I13" i="20" s="1"/>
  <c r="I14" i="20" s="1"/>
  <c r="I15" i="20" s="1"/>
  <c r="I16" i="20" s="1"/>
  <c r="I17" i="20" s="1"/>
  <c r="H7" i="20"/>
  <c r="H8" i="20" s="1"/>
  <c r="H9" i="20" s="1"/>
  <c r="H10" i="20" s="1"/>
  <c r="H11" i="20" s="1"/>
  <c r="H12" i="20" s="1"/>
  <c r="H13" i="20" s="1"/>
  <c r="H14" i="20" s="1"/>
  <c r="H15" i="20" s="1"/>
  <c r="H16" i="20" s="1"/>
  <c r="H17" i="20" s="1"/>
  <c r="G7" i="20"/>
  <c r="G8" i="20" s="1"/>
  <c r="G9" i="20" s="1"/>
  <c r="G10" i="20" s="1"/>
  <c r="G11" i="20" s="1"/>
  <c r="G12" i="20" s="1"/>
  <c r="G13" i="20" s="1"/>
  <c r="G14" i="20" s="1"/>
  <c r="G15" i="20" s="1"/>
  <c r="G16" i="20" s="1"/>
  <c r="G17" i="20" s="1"/>
  <c r="CY7" i="17" l="1"/>
  <c r="DY7" i="17"/>
  <c r="CW3" i="17"/>
  <c r="DE7" i="17"/>
  <c r="EE7" i="17"/>
  <c r="DL7" i="17"/>
  <c r="DR7" i="17"/>
  <c r="DZ9" i="17" l="1"/>
  <c r="DY9" i="17" s="1"/>
  <c r="DM12" i="17"/>
  <c r="DM11" i="17"/>
  <c r="DM9" i="17"/>
  <c r="DL9" i="17" s="1"/>
  <c r="DS9" i="17"/>
  <c r="DR9" i="17" s="1"/>
  <c r="DM10" i="17"/>
  <c r="CY18" i="17"/>
  <c r="DM13" i="17"/>
  <c r="CZ16" i="17"/>
  <c r="CZ12" i="17"/>
  <c r="CZ11" i="17"/>
  <c r="CZ9" i="17"/>
  <c r="CY9" i="17" s="1"/>
  <c r="CZ15" i="17"/>
  <c r="CZ17" i="17"/>
  <c r="CZ14" i="17"/>
  <c r="CZ10" i="17"/>
  <c r="CZ13" i="17"/>
  <c r="R8" i="17"/>
  <c r="Q8" i="17"/>
  <c r="CY10" i="17" l="1"/>
  <c r="CY11" i="17" s="1"/>
  <c r="CY12" i="17" s="1"/>
  <c r="CY13" i="17" s="1"/>
  <c r="CY14" i="17" s="1"/>
  <c r="CY15" i="17" s="1"/>
  <c r="CY16" i="17" s="1"/>
  <c r="CY17" i="17" s="1"/>
  <c r="DL10" i="17"/>
  <c r="DL11" i="17" s="1"/>
  <c r="DL12" i="17" s="1"/>
  <c r="DL13" i="17" s="1"/>
  <c r="DH18" i="17"/>
  <c r="DI18" i="17"/>
  <c r="DG18" i="17"/>
  <c r="DB18" i="17"/>
  <c r="DA18" i="17"/>
  <c r="DC18" i="17"/>
  <c r="KZ47" i="9" l="1"/>
  <c r="KY47" i="9"/>
  <c r="KX47" i="9"/>
  <c r="KW47" i="9"/>
  <c r="KV47" i="9"/>
  <c r="KU47" i="9"/>
  <c r="KT47" i="9"/>
  <c r="KS47" i="9"/>
  <c r="KR47" i="9"/>
  <c r="KQ47" i="9"/>
  <c r="KA47" i="9"/>
  <c r="JZ47" i="9"/>
  <c r="JY47" i="9"/>
  <c r="JX47" i="9"/>
  <c r="JW47" i="9"/>
  <c r="JV47" i="9"/>
  <c r="JU47" i="9"/>
  <c r="JT47" i="9"/>
  <c r="JS47" i="9"/>
  <c r="JR47" i="9"/>
  <c r="JB47" i="9"/>
  <c r="JA47" i="9"/>
  <c r="IZ47" i="9"/>
  <c r="IY47" i="9"/>
  <c r="IX47" i="9"/>
  <c r="IW47" i="9"/>
  <c r="IV47" i="9"/>
  <c r="IU47" i="9"/>
  <c r="IT47" i="9"/>
  <c r="IS47" i="9"/>
  <c r="IC47" i="9"/>
  <c r="IB47" i="9"/>
  <c r="IA47" i="9"/>
  <c r="HZ47" i="9"/>
  <c r="HY47" i="9"/>
  <c r="HX47" i="9"/>
  <c r="HW47" i="9"/>
  <c r="HV47" i="9"/>
  <c r="HU47" i="9"/>
  <c r="HT47" i="9"/>
  <c r="HD47" i="9"/>
  <c r="HC47" i="9"/>
  <c r="HB47" i="9"/>
  <c r="HA47" i="9"/>
  <c r="GZ47" i="9"/>
  <c r="GY47" i="9"/>
  <c r="GX47" i="9"/>
  <c r="GW47" i="9"/>
  <c r="GV47" i="9"/>
  <c r="GU47" i="9"/>
  <c r="GE47" i="9"/>
  <c r="GD47" i="9"/>
  <c r="GC47" i="9"/>
  <c r="GB47" i="9"/>
  <c r="GA47" i="9"/>
  <c r="FZ47" i="9"/>
  <c r="FY47" i="9"/>
  <c r="FX47" i="9"/>
  <c r="FW47" i="9"/>
  <c r="FV47" i="9"/>
  <c r="FF47" i="9"/>
  <c r="FE47" i="9"/>
  <c r="FD47" i="9"/>
  <c r="FC47" i="9"/>
  <c r="FB47" i="9"/>
  <c r="FA47" i="9"/>
  <c r="EZ47" i="9"/>
  <c r="EY47" i="9"/>
  <c r="EX47" i="9"/>
  <c r="EW47" i="9"/>
  <c r="EG47" i="9"/>
  <c r="EF47" i="9"/>
  <c r="EE47" i="9"/>
  <c r="ED47" i="9"/>
  <c r="EC47" i="9"/>
  <c r="EB47" i="9"/>
  <c r="EA47" i="9"/>
  <c r="DZ47" i="9"/>
  <c r="DY47" i="9"/>
  <c r="DX47" i="9"/>
  <c r="DH47" i="9"/>
  <c r="DG47" i="9"/>
  <c r="DF47" i="9"/>
  <c r="DE47" i="9"/>
  <c r="DD47" i="9"/>
  <c r="DC47" i="9"/>
  <c r="DB47" i="9"/>
  <c r="DA47" i="9"/>
  <c r="CZ47" i="9"/>
  <c r="CY47" i="9"/>
  <c r="CI47" i="9"/>
  <c r="CH47" i="9"/>
  <c r="CG47" i="9"/>
  <c r="CF47" i="9"/>
  <c r="CE47" i="9"/>
  <c r="CD47" i="9"/>
  <c r="CC47" i="9"/>
  <c r="CB47" i="9"/>
  <c r="CA47" i="9"/>
  <c r="BZ47" i="9"/>
  <c r="BJ47" i="9"/>
  <c r="BI47" i="9"/>
  <c r="BH47" i="9"/>
  <c r="BG47" i="9"/>
  <c r="BF47" i="9"/>
  <c r="BE47" i="9"/>
  <c r="BD47" i="9"/>
  <c r="BC47" i="9"/>
  <c r="BB47" i="9"/>
  <c r="BA47" i="9"/>
  <c r="KZ46" i="9"/>
  <c r="KY46" i="9"/>
  <c r="KX46" i="9"/>
  <c r="KW46" i="9"/>
  <c r="KV46" i="9"/>
  <c r="KU46" i="9"/>
  <c r="KT46" i="9"/>
  <c r="KS46" i="9"/>
  <c r="KR46" i="9"/>
  <c r="KQ46" i="9"/>
  <c r="KO46" i="9"/>
  <c r="KN46" i="9"/>
  <c r="KM46" i="9"/>
  <c r="KL46" i="9"/>
  <c r="KE46" i="9"/>
  <c r="KA46" i="9"/>
  <c r="JZ46" i="9"/>
  <c r="JY46" i="9"/>
  <c r="JX46" i="9"/>
  <c r="JW46" i="9"/>
  <c r="JV46" i="9"/>
  <c r="JU46" i="9"/>
  <c r="JT46" i="9"/>
  <c r="JS46" i="9"/>
  <c r="JR46" i="9"/>
  <c r="JP46" i="9"/>
  <c r="JO46" i="9"/>
  <c r="JN46" i="9"/>
  <c r="JM46" i="9"/>
  <c r="JF46" i="9"/>
  <c r="JB46" i="9"/>
  <c r="JA46" i="9"/>
  <c r="IZ46" i="9"/>
  <c r="IY46" i="9"/>
  <c r="IX46" i="9"/>
  <c r="IW46" i="9"/>
  <c r="IV46" i="9"/>
  <c r="IU46" i="9"/>
  <c r="IT46" i="9"/>
  <c r="IS46" i="9"/>
  <c r="IQ46" i="9"/>
  <c r="IP46" i="9"/>
  <c r="IO46" i="9"/>
  <c r="IN46" i="9"/>
  <c r="IG46" i="9"/>
  <c r="IC46" i="9"/>
  <c r="IB46" i="9"/>
  <c r="IA46" i="9"/>
  <c r="HZ46" i="9"/>
  <c r="HY46" i="9"/>
  <c r="HX46" i="9"/>
  <c r="HW46" i="9"/>
  <c r="HV46" i="9"/>
  <c r="HU46" i="9"/>
  <c r="HT46" i="9"/>
  <c r="HR46" i="9"/>
  <c r="HQ46" i="9"/>
  <c r="HP46" i="9"/>
  <c r="HO46" i="9"/>
  <c r="HH46" i="9"/>
  <c r="HD46" i="9"/>
  <c r="HC46" i="9"/>
  <c r="HB46" i="9"/>
  <c r="HA46" i="9"/>
  <c r="GZ46" i="9"/>
  <c r="GY46" i="9"/>
  <c r="GX46" i="9"/>
  <c r="GW46" i="9"/>
  <c r="GV46" i="9"/>
  <c r="GU46" i="9"/>
  <c r="GS46" i="9"/>
  <c r="GR46" i="9"/>
  <c r="GQ46" i="9"/>
  <c r="GP46" i="9"/>
  <c r="GI46" i="9"/>
  <c r="GE46" i="9"/>
  <c r="GD46" i="9"/>
  <c r="GC46" i="9"/>
  <c r="GB46" i="9"/>
  <c r="GA46" i="9"/>
  <c r="FZ46" i="9"/>
  <c r="FY46" i="9"/>
  <c r="FX46" i="9"/>
  <c r="FW46" i="9"/>
  <c r="FV46" i="9"/>
  <c r="FT46" i="9"/>
  <c r="FS46" i="9"/>
  <c r="FR46" i="9"/>
  <c r="FQ46" i="9"/>
  <c r="FJ46" i="9"/>
  <c r="FF46" i="9"/>
  <c r="FE46" i="9"/>
  <c r="FD46" i="9"/>
  <c r="FC46" i="9"/>
  <c r="FB46" i="9"/>
  <c r="FA46" i="9"/>
  <c r="EZ46" i="9"/>
  <c r="EY46" i="9"/>
  <c r="EX46" i="9"/>
  <c r="EW46" i="9"/>
  <c r="EU46" i="9"/>
  <c r="ET46" i="9"/>
  <c r="ES46" i="9"/>
  <c r="ER46" i="9"/>
  <c r="EK46" i="9"/>
  <c r="EG46" i="9"/>
  <c r="EF46" i="9"/>
  <c r="EE46" i="9"/>
  <c r="ED46" i="9"/>
  <c r="EC46" i="9"/>
  <c r="EB46" i="9"/>
  <c r="EA46" i="9"/>
  <c r="DZ46" i="9"/>
  <c r="DY46" i="9"/>
  <c r="DX46" i="9"/>
  <c r="DV46" i="9"/>
  <c r="DU46" i="9"/>
  <c r="DT46" i="9"/>
  <c r="DS46" i="9"/>
  <c r="DL46" i="9"/>
  <c r="DH46" i="9"/>
  <c r="DG46" i="9"/>
  <c r="DF46" i="9"/>
  <c r="DE46" i="9"/>
  <c r="DD46" i="9"/>
  <c r="DC46" i="9"/>
  <c r="DB46" i="9"/>
  <c r="DA46" i="9"/>
  <c r="CZ46" i="9"/>
  <c r="CY46" i="9"/>
  <c r="CW46" i="9"/>
  <c r="CV46" i="9"/>
  <c r="CU46" i="9"/>
  <c r="CT46" i="9"/>
  <c r="CM46" i="9"/>
  <c r="CI46" i="9"/>
  <c r="CH46" i="9"/>
  <c r="CG46" i="9"/>
  <c r="CF46" i="9"/>
  <c r="CE46" i="9"/>
  <c r="CD46" i="9"/>
  <c r="CC46" i="9"/>
  <c r="CB46" i="9"/>
  <c r="CA46" i="9"/>
  <c r="BZ46" i="9"/>
  <c r="BX46" i="9"/>
  <c r="BW46" i="9"/>
  <c r="BV46" i="9"/>
  <c r="BU46" i="9"/>
  <c r="BN46" i="9"/>
  <c r="BJ46" i="9"/>
  <c r="BI46" i="9"/>
  <c r="BH46" i="9"/>
  <c r="BG46" i="9"/>
  <c r="BF46" i="9"/>
  <c r="BE46" i="9"/>
  <c r="BD46" i="9"/>
  <c r="BC46" i="9"/>
  <c r="BB46" i="9"/>
  <c r="BA46" i="9"/>
  <c r="AY46" i="9"/>
  <c r="AX46" i="9"/>
  <c r="AW46" i="9"/>
  <c r="AV46" i="9"/>
  <c r="AO46" i="9"/>
  <c r="P46" i="9" l="1"/>
  <c r="AS31" i="1" l="1"/>
  <c r="AS32" i="1" s="1"/>
  <c r="AV32" i="1" s="1"/>
  <c r="AV30" i="1"/>
  <c r="AS29" i="1"/>
  <c r="AV29" i="1" s="1"/>
  <c r="AV28" i="1"/>
  <c r="AS21" i="1"/>
  <c r="AS22" i="1" s="1"/>
  <c r="AV22" i="1" s="1"/>
  <c r="AV20" i="1"/>
  <c r="AS19" i="1"/>
  <c r="AV19" i="1" s="1"/>
  <c r="AV18" i="1"/>
  <c r="AS16" i="1"/>
  <c r="AV16" i="1" s="1"/>
  <c r="AV15" i="1"/>
  <c r="AS14" i="1"/>
  <c r="AV14" i="1" s="1"/>
  <c r="AV13" i="1"/>
  <c r="AS11" i="1"/>
  <c r="AS12" i="1" s="1"/>
  <c r="AV12" i="1" s="1"/>
  <c r="AS9" i="1"/>
  <c r="AV9" i="1" s="1"/>
  <c r="AV10" i="1"/>
  <c r="AV8" i="1"/>
  <c r="AV7" i="1"/>
  <c r="AV6" i="1"/>
  <c r="AV5" i="1"/>
  <c r="AB46" i="9"/>
  <c r="AV11" i="1" l="1"/>
  <c r="AV31" i="1"/>
  <c r="AV21" i="1"/>
  <c r="AS17" i="1"/>
  <c r="AV17" i="1" s="1"/>
  <c r="AP5" i="6"/>
  <c r="E2" i="1"/>
  <c r="F4" i="6" s="1"/>
  <c r="U2" i="1" l="1"/>
  <c r="F3" i="1" s="1"/>
  <c r="F8" i="8"/>
  <c r="F9" i="8"/>
  <c r="F10" i="8"/>
  <c r="F11" i="8"/>
  <c r="F12" i="8"/>
  <c r="F13" i="8"/>
  <c r="F14" i="8"/>
  <c r="F15" i="8"/>
  <c r="F16" i="8"/>
  <c r="F17" i="8"/>
  <c r="F18" i="8"/>
  <c r="F7" i="8"/>
  <c r="O8" i="8"/>
  <c r="O9" i="8" s="1"/>
  <c r="O11" i="8" s="1"/>
  <c r="O12" i="8" s="1"/>
  <c r="O13" i="8" s="1"/>
  <c r="O14" i="8" s="1"/>
  <c r="O15" i="8" s="1"/>
  <c r="O16" i="8" s="1"/>
  <c r="O17" i="8" s="1"/>
  <c r="O18" i="8" s="1"/>
  <c r="N8" i="8"/>
  <c r="N9" i="8" s="1"/>
  <c r="N11" i="8" s="1"/>
  <c r="N12" i="8" s="1"/>
  <c r="N13" i="8" s="1"/>
  <c r="N14" i="8" s="1"/>
  <c r="N15" i="8" s="1"/>
  <c r="N16" i="8" s="1"/>
  <c r="N17" i="8" s="1"/>
  <c r="N18" i="8" s="1"/>
  <c r="AM20" i="16"/>
  <c r="AL20" i="16"/>
  <c r="AK20" i="16"/>
  <c r="Q8" i="4" l="1"/>
  <c r="Y46" i="9" l="1"/>
  <c r="Z46" i="9"/>
  <c r="X46" i="9"/>
  <c r="W46" i="9"/>
  <c r="AK47" i="9"/>
  <c r="AK46" i="9"/>
  <c r="AJ47" i="9"/>
  <c r="AJ46" i="9"/>
  <c r="AI47" i="9"/>
  <c r="AI46" i="9"/>
  <c r="AH47" i="9"/>
  <c r="AH46" i="9"/>
  <c r="AG47" i="9"/>
  <c r="AG46" i="9"/>
  <c r="AF47" i="9"/>
  <c r="AF46" i="9"/>
  <c r="AE47" i="9"/>
  <c r="AE46" i="9"/>
  <c r="AD47" i="9"/>
  <c r="AD46" i="9"/>
  <c r="AC47" i="9"/>
  <c r="AC46" i="9"/>
  <c r="AB47" i="9"/>
  <c r="AS9" i="10" l="1"/>
  <c r="AR9" i="10"/>
  <c r="AQ9" i="10"/>
  <c r="AP9" i="10"/>
  <c r="Q9" i="10"/>
  <c r="H3" i="10" l="1"/>
  <c r="O5" i="19" l="1"/>
  <c r="C3" i="19" s="1"/>
  <c r="C1" i="19"/>
  <c r="L5" i="3"/>
  <c r="Q10" i="10" l="1"/>
  <c r="Q9" i="4"/>
  <c r="L6" i="3"/>
  <c r="Q10" i="4" s="1"/>
  <c r="D4" i="19"/>
  <c r="M1" i="19"/>
  <c r="Q11" i="10" l="1"/>
  <c r="L7" i="3"/>
  <c r="Q11" i="4" s="1"/>
  <c r="W11" i="18"/>
  <c r="Y11" i="18" s="1"/>
  <c r="AK11" i="18"/>
  <c r="AM11" i="18" s="1"/>
  <c r="AY11" i="18"/>
  <c r="BA11" i="18" s="1"/>
  <c r="BM11" i="18"/>
  <c r="BO11" i="18" s="1"/>
  <c r="CA11" i="18"/>
  <c r="CC11" i="18" s="1"/>
  <c r="CO11" i="18"/>
  <c r="CQ11" i="18" s="1"/>
  <c r="DC11" i="18"/>
  <c r="DE11" i="18" s="1"/>
  <c r="DQ11" i="18"/>
  <c r="DS11" i="18" s="1"/>
  <c r="EE11" i="18"/>
  <c r="EG11" i="18" s="1"/>
  <c r="ES11" i="18"/>
  <c r="EU11" i="18" s="1"/>
  <c r="FG11" i="18"/>
  <c r="FI11" i="18" s="1"/>
  <c r="AK12" i="18"/>
  <c r="AM12" i="18" s="1"/>
  <c r="AY12" i="18"/>
  <c r="BA12" i="18" s="1"/>
  <c r="BM12" i="18"/>
  <c r="BO12" i="18" s="1"/>
  <c r="CA12" i="18"/>
  <c r="CC12" i="18" s="1"/>
  <c r="CO12" i="18"/>
  <c r="CQ12" i="18" s="1"/>
  <c r="DC12" i="18"/>
  <c r="DE12" i="18" s="1"/>
  <c r="DQ12" i="18"/>
  <c r="DS12" i="18" s="1"/>
  <c r="EE12" i="18"/>
  <c r="EG12" i="18" s="1"/>
  <c r="ES12" i="18"/>
  <c r="EU12" i="18" s="1"/>
  <c r="FG12" i="18"/>
  <c r="FI12" i="18" s="1"/>
  <c r="W13" i="18"/>
  <c r="Y13" i="18" s="1"/>
  <c r="AK13" i="18"/>
  <c r="AM13" i="18" s="1"/>
  <c r="AY13" i="18"/>
  <c r="BA13" i="18" s="1"/>
  <c r="BM13" i="18"/>
  <c r="BO13" i="18" s="1"/>
  <c r="CA13" i="18"/>
  <c r="CC13" i="18" s="1"/>
  <c r="CO13" i="18"/>
  <c r="CQ13" i="18" s="1"/>
  <c r="DC13" i="18"/>
  <c r="DE13" i="18" s="1"/>
  <c r="DQ13" i="18"/>
  <c r="DS13" i="18" s="1"/>
  <c r="EE13" i="18"/>
  <c r="EG13" i="18" s="1"/>
  <c r="ES13" i="18"/>
  <c r="EU13" i="18" s="1"/>
  <c r="FG13" i="18"/>
  <c r="FI13" i="18" s="1"/>
  <c r="W14" i="18"/>
  <c r="Y14" i="18" s="1"/>
  <c r="AK14" i="18"/>
  <c r="AM14" i="18" s="1"/>
  <c r="AY14" i="18"/>
  <c r="BA14" i="18" s="1"/>
  <c r="BM14" i="18"/>
  <c r="BO14" i="18" s="1"/>
  <c r="CA14" i="18"/>
  <c r="CC14" i="18" s="1"/>
  <c r="CO14" i="18"/>
  <c r="CQ14" i="18" s="1"/>
  <c r="DC14" i="18"/>
  <c r="DE14" i="18" s="1"/>
  <c r="DQ14" i="18"/>
  <c r="DS14" i="18" s="1"/>
  <c r="EE14" i="18"/>
  <c r="EG14" i="18" s="1"/>
  <c r="ES14" i="18"/>
  <c r="EU14" i="18" s="1"/>
  <c r="FG14" i="18"/>
  <c r="FI14" i="18" s="1"/>
  <c r="BM10" i="18"/>
  <c r="W12" i="18" l="1"/>
  <c r="Y12" i="18" s="1"/>
  <c r="Q12" i="10"/>
  <c r="L8" i="3"/>
  <c r="Q12" i="4" s="1"/>
  <c r="L9" i="3" l="1"/>
  <c r="Q13" i="4" s="1"/>
  <c r="Q13" i="10"/>
  <c r="L10" i="3" l="1"/>
  <c r="Q14" i="4" s="1"/>
  <c r="Q14" i="10"/>
  <c r="C2" i="19"/>
  <c r="D5" i="3"/>
  <c r="D6" i="3"/>
  <c r="D7" i="3"/>
  <c r="D8" i="3"/>
  <c r="D9" i="3"/>
  <c r="D10" i="3"/>
  <c r="D11" i="3"/>
  <c r="D12" i="3"/>
  <c r="D13" i="3"/>
  <c r="D14" i="3"/>
  <c r="D15" i="3"/>
  <c r="A19" i="4" l="1"/>
  <c r="A19" i="16"/>
  <c r="A15" i="4"/>
  <c r="A15" i="16"/>
  <c r="A11" i="4"/>
  <c r="A11" i="16"/>
  <c r="A18" i="4"/>
  <c r="A18" i="16"/>
  <c r="A14" i="4"/>
  <c r="A14" i="16"/>
  <c r="A10" i="4"/>
  <c r="A10" i="16"/>
  <c r="A17" i="4"/>
  <c r="A17" i="16"/>
  <c r="A13" i="4"/>
  <c r="A13" i="16"/>
  <c r="A9" i="4"/>
  <c r="A9" i="16"/>
  <c r="A16" i="4"/>
  <c r="A16" i="16"/>
  <c r="A12" i="4"/>
  <c r="A12" i="16"/>
  <c r="Q15" i="10"/>
  <c r="L11" i="3"/>
  <c r="Q15" i="4" s="1"/>
  <c r="A12" i="10"/>
  <c r="B12" i="10" s="1"/>
  <c r="C12" i="10" s="1"/>
  <c r="A16" i="10"/>
  <c r="B16" i="10" s="1"/>
  <c r="C16" i="10" s="1"/>
  <c r="A20" i="10"/>
  <c r="B20" i="10" s="1"/>
  <c r="C20" i="10" s="1"/>
  <c r="A13" i="10"/>
  <c r="B13" i="10" s="1"/>
  <c r="C13" i="10" s="1"/>
  <c r="A17" i="10"/>
  <c r="B17" i="10" s="1"/>
  <c r="C17" i="10" s="1"/>
  <c r="A10" i="10"/>
  <c r="B10" i="10" s="1"/>
  <c r="C10" i="10" s="1"/>
  <c r="A14" i="10"/>
  <c r="B14" i="10" s="1"/>
  <c r="C14" i="10" s="1"/>
  <c r="A18" i="10"/>
  <c r="B18" i="10" s="1"/>
  <c r="C18" i="10" s="1"/>
  <c r="A11" i="10"/>
  <c r="B11" i="10" s="1"/>
  <c r="C11" i="10" s="1"/>
  <c r="A15" i="10"/>
  <c r="B15" i="10" s="1"/>
  <c r="C15" i="10" s="1"/>
  <c r="A19" i="10"/>
  <c r="B19" i="10" s="1"/>
  <c r="C19" i="10" s="1"/>
  <c r="D1" i="3"/>
  <c r="A4" i="16" s="1"/>
  <c r="AD5" i="3"/>
  <c r="AD6" i="3" s="1"/>
  <c r="AD7" i="3" s="1"/>
  <c r="AD8" i="3" s="1"/>
  <c r="AD9" i="3" s="1"/>
  <c r="AD10" i="3" s="1"/>
  <c r="AD11" i="3" s="1"/>
  <c r="AD12" i="3" s="1"/>
  <c r="AD13" i="3" s="1"/>
  <c r="AD14" i="3" s="1"/>
  <c r="AD15" i="3" s="1"/>
  <c r="AC5" i="3"/>
  <c r="AC6" i="3" s="1"/>
  <c r="AC7" i="3" s="1"/>
  <c r="AC8" i="3" s="1"/>
  <c r="AC9" i="3" s="1"/>
  <c r="AC10" i="3" s="1"/>
  <c r="AC11" i="3" s="1"/>
  <c r="AC12" i="3" s="1"/>
  <c r="AC13" i="3" s="1"/>
  <c r="AC14" i="3" s="1"/>
  <c r="AC15" i="3" s="1"/>
  <c r="AB5" i="3"/>
  <c r="AB6" i="3" s="1"/>
  <c r="AB7" i="3" s="1"/>
  <c r="AB8" i="3" s="1"/>
  <c r="AB9" i="3" s="1"/>
  <c r="AB10" i="3" s="1"/>
  <c r="AB11" i="3" s="1"/>
  <c r="AB12" i="3" s="1"/>
  <c r="AB13" i="3" s="1"/>
  <c r="AB14" i="3" s="1"/>
  <c r="AB15" i="3" s="1"/>
  <c r="AA5" i="3"/>
  <c r="AA6" i="3" s="1"/>
  <c r="AA7" i="3" s="1"/>
  <c r="AA8" i="3" s="1"/>
  <c r="AA9" i="3" s="1"/>
  <c r="AA10" i="3" s="1"/>
  <c r="AA11" i="3" s="1"/>
  <c r="AA12" i="3" s="1"/>
  <c r="AA13" i="3" s="1"/>
  <c r="AA14" i="3" s="1"/>
  <c r="AA15" i="3" s="1"/>
  <c r="Z5" i="3"/>
  <c r="Z6" i="3" s="1"/>
  <c r="Z7" i="3" s="1"/>
  <c r="Z8" i="3" s="1"/>
  <c r="Z9" i="3" s="1"/>
  <c r="Z10" i="3" s="1"/>
  <c r="Z11" i="3" s="1"/>
  <c r="Z12" i="3" s="1"/>
  <c r="Z13" i="3" s="1"/>
  <c r="Z14" i="3" s="1"/>
  <c r="Z15" i="3" s="1"/>
  <c r="Y5" i="3"/>
  <c r="Y6" i="3" s="1"/>
  <c r="Y7" i="3" s="1"/>
  <c r="Y8" i="3" s="1"/>
  <c r="Y9" i="3" s="1"/>
  <c r="Y10" i="3" s="1"/>
  <c r="Y11" i="3" s="1"/>
  <c r="Y12" i="3" s="1"/>
  <c r="Y13" i="3" s="1"/>
  <c r="Y14" i="3" s="1"/>
  <c r="Y15" i="3" s="1"/>
  <c r="X5" i="3"/>
  <c r="X6" i="3" s="1"/>
  <c r="X7" i="3" s="1"/>
  <c r="X8" i="3" s="1"/>
  <c r="X9" i="3" s="1"/>
  <c r="X10" i="3" s="1"/>
  <c r="X11" i="3" s="1"/>
  <c r="X12" i="3" s="1"/>
  <c r="X13" i="3" s="1"/>
  <c r="X14" i="3" s="1"/>
  <c r="X15" i="3" s="1"/>
  <c r="W5" i="3"/>
  <c r="W6" i="3" s="1"/>
  <c r="W7" i="3" s="1"/>
  <c r="W8" i="3" s="1"/>
  <c r="W9" i="3" s="1"/>
  <c r="W10" i="3" s="1"/>
  <c r="W11" i="3" s="1"/>
  <c r="W12" i="3" s="1"/>
  <c r="W13" i="3" s="1"/>
  <c r="W14" i="3" s="1"/>
  <c r="W15" i="3" s="1"/>
  <c r="V5" i="3"/>
  <c r="V6" i="3" s="1"/>
  <c r="V7" i="3" s="1"/>
  <c r="V8" i="3" s="1"/>
  <c r="V9" i="3" s="1"/>
  <c r="V10" i="3" s="1"/>
  <c r="V11" i="3" s="1"/>
  <c r="V12" i="3" s="1"/>
  <c r="V13" i="3" s="1"/>
  <c r="V14" i="3" s="1"/>
  <c r="V15" i="3" s="1"/>
  <c r="U5" i="3"/>
  <c r="U6" i="3" s="1"/>
  <c r="U7" i="3" s="1"/>
  <c r="U8" i="3" s="1"/>
  <c r="U9" i="3" s="1"/>
  <c r="U10" i="3" s="1"/>
  <c r="U11" i="3" s="1"/>
  <c r="U12" i="3" s="1"/>
  <c r="U13" i="3" s="1"/>
  <c r="U14" i="3" s="1"/>
  <c r="U15" i="3" s="1"/>
  <c r="T5" i="3"/>
  <c r="T6" i="3" s="1"/>
  <c r="T7" i="3" s="1"/>
  <c r="T8" i="3" s="1"/>
  <c r="T9" i="3" s="1"/>
  <c r="T10" i="3" s="1"/>
  <c r="T11" i="3" s="1"/>
  <c r="T12" i="3" s="1"/>
  <c r="T13" i="3" s="1"/>
  <c r="T14" i="3" s="1"/>
  <c r="T15" i="3" s="1"/>
  <c r="S5" i="3"/>
  <c r="S6" i="3" s="1"/>
  <c r="S7" i="3" s="1"/>
  <c r="S8" i="3" s="1"/>
  <c r="S9" i="3" s="1"/>
  <c r="S10" i="3" s="1"/>
  <c r="S11" i="3" s="1"/>
  <c r="S12" i="3" s="1"/>
  <c r="S13" i="3" s="1"/>
  <c r="S14" i="3" s="1"/>
  <c r="S15" i="3" s="1"/>
  <c r="R5" i="3"/>
  <c r="R6" i="3" s="1"/>
  <c r="R7" i="3" s="1"/>
  <c r="R8" i="3" s="1"/>
  <c r="R9" i="3" s="1"/>
  <c r="R10" i="3" s="1"/>
  <c r="R11" i="3" s="1"/>
  <c r="R12" i="3" s="1"/>
  <c r="R13" i="3" s="1"/>
  <c r="R14" i="3" s="1"/>
  <c r="R15" i="3" s="1"/>
  <c r="Q5" i="3"/>
  <c r="Q6" i="3" s="1"/>
  <c r="Q7" i="3" s="1"/>
  <c r="Q8" i="3" s="1"/>
  <c r="Q9" i="3" s="1"/>
  <c r="Q10" i="3" s="1"/>
  <c r="Q11" i="3" s="1"/>
  <c r="Q12" i="3" s="1"/>
  <c r="Q13" i="3" s="1"/>
  <c r="Q14" i="3" s="1"/>
  <c r="Q15" i="3" s="1"/>
  <c r="P5" i="3"/>
  <c r="P6" i="3" s="1"/>
  <c r="P7" i="3" s="1"/>
  <c r="P8" i="3" s="1"/>
  <c r="P9" i="3" s="1"/>
  <c r="P10" i="3" s="1"/>
  <c r="P11" i="3" s="1"/>
  <c r="P12" i="3" s="1"/>
  <c r="P13" i="3" s="1"/>
  <c r="P14" i="3" s="1"/>
  <c r="P15" i="3" s="1"/>
  <c r="O5" i="3"/>
  <c r="O6" i="3" s="1"/>
  <c r="O7" i="3" s="1"/>
  <c r="O8" i="3" s="1"/>
  <c r="O9" i="3" s="1"/>
  <c r="O10" i="3" s="1"/>
  <c r="O11" i="3" s="1"/>
  <c r="O12" i="3" s="1"/>
  <c r="O13" i="3" s="1"/>
  <c r="O14" i="3" s="1"/>
  <c r="O15" i="3" s="1"/>
  <c r="N5" i="3"/>
  <c r="N6" i="3" s="1"/>
  <c r="N7" i="3" s="1"/>
  <c r="N8" i="3" s="1"/>
  <c r="N9" i="3" s="1"/>
  <c r="N10" i="3" s="1"/>
  <c r="N11" i="3" s="1"/>
  <c r="N12" i="3" s="1"/>
  <c r="N13" i="3" s="1"/>
  <c r="N14" i="3" s="1"/>
  <c r="N15" i="3" s="1"/>
  <c r="M5" i="3"/>
  <c r="M6" i="3" s="1"/>
  <c r="M7" i="3" s="1"/>
  <c r="M8" i="3" s="1"/>
  <c r="M9" i="3" s="1"/>
  <c r="M10" i="3" s="1"/>
  <c r="M11" i="3" s="1"/>
  <c r="M12" i="3" s="1"/>
  <c r="M13" i="3" s="1"/>
  <c r="M14" i="3" s="1"/>
  <c r="M15" i="3" s="1"/>
  <c r="J5" i="3"/>
  <c r="J6" i="3" s="1"/>
  <c r="J7" i="3" s="1"/>
  <c r="J8" i="3" s="1"/>
  <c r="J9" i="3" s="1"/>
  <c r="J10" i="3" s="1"/>
  <c r="J11" i="3" s="1"/>
  <c r="J12" i="3" s="1"/>
  <c r="J13" i="3" s="1"/>
  <c r="J14" i="3" s="1"/>
  <c r="J15" i="3" s="1"/>
  <c r="K5" i="3"/>
  <c r="K6" i="3" s="1"/>
  <c r="K7" i="3" s="1"/>
  <c r="K8" i="3" s="1"/>
  <c r="K9" i="3" s="1"/>
  <c r="K10" i="3" s="1"/>
  <c r="K11" i="3" s="1"/>
  <c r="K12" i="3" s="1"/>
  <c r="K13" i="3" s="1"/>
  <c r="K14" i="3" s="1"/>
  <c r="K15" i="3" s="1"/>
  <c r="D7" i="8"/>
  <c r="N10" i="9" s="1"/>
  <c r="L1" i="19"/>
  <c r="H4" i="3" l="1"/>
  <c r="AA8" i="17" s="1"/>
  <c r="DU9" i="17" s="1"/>
  <c r="L12" i="3"/>
  <c r="Q16" i="4" s="1"/>
  <c r="Q16" i="10"/>
  <c r="C4" i="19"/>
  <c r="A6" i="10"/>
  <c r="A4" i="4"/>
  <c r="E1" i="3"/>
  <c r="D1" i="8"/>
  <c r="E9" i="8" l="1"/>
  <c r="G9" i="8" s="1"/>
  <c r="E13" i="8"/>
  <c r="G13" i="8" s="1"/>
  <c r="E17" i="8"/>
  <c r="G17" i="8" s="1"/>
  <c r="E10" i="8"/>
  <c r="G10" i="8" s="1"/>
  <c r="E14" i="8"/>
  <c r="G14" i="8" s="1"/>
  <c r="E18" i="8"/>
  <c r="G18" i="8" s="1"/>
  <c r="E11" i="8"/>
  <c r="G11" i="8" s="1"/>
  <c r="E15" i="8"/>
  <c r="G15" i="8" s="1"/>
  <c r="E8" i="8"/>
  <c r="G8" i="8" s="1"/>
  <c r="E12" i="8"/>
  <c r="G12" i="8" s="1"/>
  <c r="E16" i="8"/>
  <c r="G16" i="8" s="1"/>
  <c r="T18" i="4"/>
  <c r="T19" i="4"/>
  <c r="T17" i="4"/>
  <c r="L13" i="3"/>
  <c r="Q17" i="4" s="1"/>
  <c r="Q17" i="10"/>
  <c r="I1" i="19"/>
  <c r="F3" i="19" s="1"/>
  <c r="X3" i="19"/>
  <c r="M6" i="19"/>
  <c r="W3" i="19"/>
  <c r="M5" i="19"/>
  <c r="Y3" i="19"/>
  <c r="O3" i="19"/>
  <c r="P3" i="19"/>
  <c r="M2" i="19"/>
  <c r="M3" i="19"/>
  <c r="AD3" i="19"/>
  <c r="Z3" i="19"/>
  <c r="V3" i="19"/>
  <c r="G36" i="19" s="1"/>
  <c r="AG3" i="19"/>
  <c r="U3" i="19"/>
  <c r="F33" i="19" s="1"/>
  <c r="AF3" i="19"/>
  <c r="AE3" i="19"/>
  <c r="S3" i="19"/>
  <c r="S12" i="19" s="1"/>
  <c r="AB3" i="19"/>
  <c r="AB30" i="19" s="1"/>
  <c r="T3" i="19"/>
  <c r="T19" i="19" s="1"/>
  <c r="AA3" i="19"/>
  <c r="L2" i="19"/>
  <c r="L3" i="19" s="1"/>
  <c r="L4" i="19"/>
  <c r="KD9" i="9"/>
  <c r="KF9" i="9" s="1"/>
  <c r="JE9" i="9"/>
  <c r="JG9" i="9" s="1"/>
  <c r="IF9" i="9"/>
  <c r="IH9" i="9" s="1"/>
  <c r="HH9" i="9"/>
  <c r="HG9" i="9"/>
  <c r="GH9" i="9"/>
  <c r="GJ9" i="9" s="1"/>
  <c r="FI9" i="9"/>
  <c r="FK9" i="9" s="1"/>
  <c r="AE37" i="19" l="1"/>
  <c r="BF17" i="4"/>
  <c r="BB17" i="4"/>
  <c r="AX17" i="4"/>
  <c r="BE17" i="4"/>
  <c r="BA17" i="4"/>
  <c r="AW17" i="4"/>
  <c r="BD17" i="4"/>
  <c r="AZ17" i="4"/>
  <c r="AV17" i="4"/>
  <c r="BC17" i="4"/>
  <c r="AY17" i="4"/>
  <c r="AU17" i="4"/>
  <c r="BF18" i="4"/>
  <c r="BB18" i="4"/>
  <c r="AX18" i="4"/>
  <c r="BE18" i="4"/>
  <c r="BA18" i="4"/>
  <c r="AW18" i="4"/>
  <c r="BD18" i="4"/>
  <c r="AZ18" i="4"/>
  <c r="AV18" i="4"/>
  <c r="BC18" i="4"/>
  <c r="AY18" i="4"/>
  <c r="AU18" i="4"/>
  <c r="BF19" i="4"/>
  <c r="BB19" i="4"/>
  <c r="AX19" i="4"/>
  <c r="BE19" i="4"/>
  <c r="BA19" i="4"/>
  <c r="AW19" i="4"/>
  <c r="BD19" i="4"/>
  <c r="AZ19" i="4"/>
  <c r="AV19" i="4"/>
  <c r="BC19" i="4"/>
  <c r="AY19" i="4"/>
  <c r="AU19" i="4"/>
  <c r="BL17" i="4"/>
  <c r="BH17" i="4"/>
  <c r="BK17" i="4"/>
  <c r="BG17" i="4"/>
  <c r="BJ17" i="4"/>
  <c r="BI17" i="4"/>
  <c r="BJ18" i="4"/>
  <c r="BI18" i="4"/>
  <c r="BL18" i="4"/>
  <c r="BH18" i="4"/>
  <c r="BK18" i="4"/>
  <c r="BG18" i="4"/>
  <c r="BL19" i="4"/>
  <c r="BH19" i="4"/>
  <c r="BK19" i="4"/>
  <c r="BG19" i="4"/>
  <c r="BJ19" i="4"/>
  <c r="BI19" i="4"/>
  <c r="J17" i="4"/>
  <c r="AL17" i="4"/>
  <c r="AH17" i="4"/>
  <c r="AD17" i="4"/>
  <c r="Z17" i="4"/>
  <c r="AK17" i="4"/>
  <c r="AG17" i="4"/>
  <c r="AC17" i="4"/>
  <c r="AJ17" i="4"/>
  <c r="AF17" i="4"/>
  <c r="AB17" i="4"/>
  <c r="AM17" i="4"/>
  <c r="AI17" i="4"/>
  <c r="AE17" i="4"/>
  <c r="AA17" i="4"/>
  <c r="J18" i="4"/>
  <c r="AJ18" i="4"/>
  <c r="AF18" i="4"/>
  <c r="AB18" i="4"/>
  <c r="AM18" i="4"/>
  <c r="AI18" i="4"/>
  <c r="AE18" i="4"/>
  <c r="AA18" i="4"/>
  <c r="AL18" i="4"/>
  <c r="AH18" i="4"/>
  <c r="AD18" i="4"/>
  <c r="Z18" i="4"/>
  <c r="AK18" i="4"/>
  <c r="AG18" i="4"/>
  <c r="AC18" i="4"/>
  <c r="J19" i="4"/>
  <c r="AL19" i="4"/>
  <c r="AH19" i="4"/>
  <c r="AD19" i="4"/>
  <c r="Z19" i="4"/>
  <c r="AK19" i="4"/>
  <c r="AG19" i="4"/>
  <c r="AC19" i="4"/>
  <c r="AJ19" i="4"/>
  <c r="AF19" i="4"/>
  <c r="AB19" i="4"/>
  <c r="AM19" i="4"/>
  <c r="AI19" i="4"/>
  <c r="AE19" i="4"/>
  <c r="AA19" i="4"/>
  <c r="B17" i="4"/>
  <c r="O17" i="4"/>
  <c r="K17" i="4"/>
  <c r="N17" i="4"/>
  <c r="M17" i="4"/>
  <c r="P17" i="4"/>
  <c r="L17" i="4"/>
  <c r="B18" i="4"/>
  <c r="M18" i="4"/>
  <c r="P18" i="4"/>
  <c r="L18" i="4"/>
  <c r="O18" i="4"/>
  <c r="K18" i="4"/>
  <c r="N18" i="4"/>
  <c r="B19" i="4"/>
  <c r="O19" i="4"/>
  <c r="K19" i="4"/>
  <c r="N19" i="4"/>
  <c r="M19" i="4"/>
  <c r="P19" i="4"/>
  <c r="L19" i="4"/>
  <c r="F17" i="4"/>
  <c r="I17" i="4"/>
  <c r="E17" i="4"/>
  <c r="H17" i="4"/>
  <c r="D17" i="4"/>
  <c r="G17" i="4"/>
  <c r="C17" i="4"/>
  <c r="G18" i="4"/>
  <c r="C18" i="4"/>
  <c r="F18" i="4"/>
  <c r="I18" i="4"/>
  <c r="E18" i="4"/>
  <c r="H18" i="4"/>
  <c r="D18" i="4"/>
  <c r="H19" i="4"/>
  <c r="D19" i="4"/>
  <c r="G19" i="4"/>
  <c r="C19" i="4"/>
  <c r="F19" i="4"/>
  <c r="I19" i="4"/>
  <c r="E19" i="4"/>
  <c r="AQ17" i="4"/>
  <c r="AO17" i="4"/>
  <c r="AP17" i="4"/>
  <c r="AR17" i="4"/>
  <c r="AS17" i="4"/>
  <c r="AT17" i="4"/>
  <c r="AO18" i="4"/>
  <c r="AS18" i="4"/>
  <c r="AP18" i="4"/>
  <c r="AT18" i="4"/>
  <c r="AQ18" i="4"/>
  <c r="AR18" i="4"/>
  <c r="AQ19" i="4"/>
  <c r="AO19" i="4"/>
  <c r="AP19" i="4"/>
  <c r="AR19" i="4"/>
  <c r="AS19" i="4"/>
  <c r="AT19" i="4"/>
  <c r="W17" i="4"/>
  <c r="X17" i="4"/>
  <c r="Y17" i="4"/>
  <c r="V17" i="4"/>
  <c r="W18" i="4"/>
  <c r="X18" i="4"/>
  <c r="Y18" i="4"/>
  <c r="V18" i="4"/>
  <c r="W19" i="4"/>
  <c r="X19" i="4"/>
  <c r="Y19" i="4"/>
  <c r="V19" i="4"/>
  <c r="Q18" i="10"/>
  <c r="L14" i="3"/>
  <c r="Q18" i="4" s="1"/>
  <c r="AF21" i="19"/>
  <c r="AB12" i="19"/>
  <c r="AG26" i="19"/>
  <c r="T12" i="19"/>
  <c r="F24" i="19"/>
  <c r="U24" i="19" s="1"/>
  <c r="F34" i="19"/>
  <c r="U34" i="19" s="1"/>
  <c r="F28" i="19"/>
  <c r="F27" i="19"/>
  <c r="Z27" i="19" s="1"/>
  <c r="AG27" i="19"/>
  <c r="F16" i="19"/>
  <c r="U16" i="19" s="1"/>
  <c r="AF38" i="19"/>
  <c r="AC30" i="19"/>
  <c r="F39" i="19"/>
  <c r="U39" i="19" s="1"/>
  <c r="F38" i="19"/>
  <c r="Z38" i="19" s="1"/>
  <c r="F25" i="19"/>
  <c r="AF28" i="19"/>
  <c r="S21" i="19"/>
  <c r="F37" i="19"/>
  <c r="U37" i="19" s="1"/>
  <c r="F14" i="19"/>
  <c r="G29" i="19"/>
  <c r="AA29" i="19" s="1"/>
  <c r="F22" i="19"/>
  <c r="Z22" i="19" s="1"/>
  <c r="F31" i="19"/>
  <c r="Z31" i="19" s="1"/>
  <c r="G34" i="19"/>
  <c r="F36" i="19"/>
  <c r="Z36" i="19" s="1"/>
  <c r="F42" i="19"/>
  <c r="Z42" i="19" s="1"/>
  <c r="F29" i="19"/>
  <c r="Z29" i="19" s="1"/>
  <c r="G32" i="19"/>
  <c r="AA32" i="19" s="1"/>
  <c r="G35" i="19"/>
  <c r="AA35" i="19" s="1"/>
  <c r="F18" i="19"/>
  <c r="Z18" i="19" s="1"/>
  <c r="F19" i="19"/>
  <c r="Z19" i="19" s="1"/>
  <c r="G22" i="19"/>
  <c r="G31" i="19"/>
  <c r="AA31" i="19" s="1"/>
  <c r="G25" i="19"/>
  <c r="AA25" i="19" s="1"/>
  <c r="F17" i="19"/>
  <c r="Z17" i="19" s="1"/>
  <c r="G20" i="19"/>
  <c r="AA20" i="19" s="1"/>
  <c r="AG31" i="19"/>
  <c r="AE23" i="19"/>
  <c r="AG35" i="19"/>
  <c r="AE25" i="19"/>
  <c r="AF14" i="19"/>
  <c r="AG39" i="19"/>
  <c r="AF18" i="19"/>
  <c r="AE31" i="19"/>
  <c r="AG37" i="19"/>
  <c r="AE27" i="19"/>
  <c r="AF16" i="19"/>
  <c r="AF41" i="19"/>
  <c r="AE36" i="19"/>
  <c r="AG30" i="19"/>
  <c r="AF25" i="19"/>
  <c r="AE20" i="19"/>
  <c r="AG14" i="19"/>
  <c r="AF12" i="19"/>
  <c r="AE38" i="19"/>
  <c r="AG32" i="19"/>
  <c r="AF27" i="19"/>
  <c r="AE22" i="19"/>
  <c r="AG16" i="19"/>
  <c r="G42" i="19"/>
  <c r="AA42" i="19" s="1"/>
  <c r="G40" i="19"/>
  <c r="AA40" i="19" s="1"/>
  <c r="G30" i="19"/>
  <c r="AA30" i="19" s="1"/>
  <c r="F12" i="19"/>
  <c r="Z12" i="19" s="1"/>
  <c r="F30" i="19"/>
  <c r="U30" i="19" s="1"/>
  <c r="F23" i="19"/>
  <c r="Z23" i="19" s="1"/>
  <c r="G26" i="19"/>
  <c r="AA26" i="19" s="1"/>
  <c r="G39" i="19"/>
  <c r="AA39" i="19" s="1"/>
  <c r="F26" i="19"/>
  <c r="U26" i="19" s="1"/>
  <c r="F21" i="19"/>
  <c r="Z21" i="19" s="1"/>
  <c r="G24" i="19"/>
  <c r="V24" i="19" s="1"/>
  <c r="G41" i="19"/>
  <c r="AA41" i="19" s="1"/>
  <c r="G12" i="19"/>
  <c r="V12" i="19" s="1"/>
  <c r="G19" i="19"/>
  <c r="AA19" i="19" s="1"/>
  <c r="G14" i="19"/>
  <c r="V14" i="19" s="1"/>
  <c r="G33" i="19"/>
  <c r="AA33" i="19" s="1"/>
  <c r="F41" i="19"/>
  <c r="U41" i="19" s="1"/>
  <c r="G13" i="19"/>
  <c r="AA13" i="19" s="1"/>
  <c r="G23" i="19"/>
  <c r="V23" i="19" s="1"/>
  <c r="AF26" i="19"/>
  <c r="AE39" i="19"/>
  <c r="AG17" i="19"/>
  <c r="AE12" i="19"/>
  <c r="AE33" i="19"/>
  <c r="AF22" i="19"/>
  <c r="AF34" i="19"/>
  <c r="AG15" i="19"/>
  <c r="AG25" i="19"/>
  <c r="AE35" i="19"/>
  <c r="AF24" i="19"/>
  <c r="AG13" i="19"/>
  <c r="AE40" i="19"/>
  <c r="AG34" i="19"/>
  <c r="AF29" i="19"/>
  <c r="AE24" i="19"/>
  <c r="AG18" i="19"/>
  <c r="AF13" i="19"/>
  <c r="AE42" i="19"/>
  <c r="AG36" i="19"/>
  <c r="AF31" i="19"/>
  <c r="AE26" i="19"/>
  <c r="AG20" i="19"/>
  <c r="AF15" i="19"/>
  <c r="G17" i="19"/>
  <c r="V17" i="19" s="1"/>
  <c r="G28" i="19"/>
  <c r="AA28" i="19" s="1"/>
  <c r="AE13" i="19"/>
  <c r="G27" i="19"/>
  <c r="V27" i="19" s="1"/>
  <c r="G21" i="19"/>
  <c r="V21" i="19" s="1"/>
  <c r="F15" i="19"/>
  <c r="U15" i="19" s="1"/>
  <c r="G18" i="19"/>
  <c r="V18" i="19" s="1"/>
  <c r="F20" i="19"/>
  <c r="U20" i="19" s="1"/>
  <c r="G15" i="19"/>
  <c r="V15" i="19" s="1"/>
  <c r="F13" i="19"/>
  <c r="Z13" i="19" s="1"/>
  <c r="G16" i="19"/>
  <c r="V16" i="19" s="1"/>
  <c r="F40" i="19"/>
  <c r="U40" i="19" s="1"/>
  <c r="F35" i="19"/>
  <c r="U35" i="19" s="1"/>
  <c r="G38" i="19"/>
  <c r="V38" i="19" s="1"/>
  <c r="G37" i="19"/>
  <c r="V37" i="19" s="1"/>
  <c r="F32" i="19"/>
  <c r="Z32" i="19" s="1"/>
  <c r="AF42" i="19"/>
  <c r="AE21" i="19"/>
  <c r="AG33" i="19"/>
  <c r="AE41" i="19"/>
  <c r="AF30" i="19"/>
  <c r="AG19" i="19"/>
  <c r="AE29" i="19"/>
  <c r="AG41" i="19"/>
  <c r="AF20" i="19"/>
  <c r="AG12" i="19"/>
  <c r="AF32" i="19"/>
  <c r="AG21" i="19"/>
  <c r="AG38" i="19"/>
  <c r="AF33" i="19"/>
  <c r="AE28" i="19"/>
  <c r="AG22" i="19"/>
  <c r="AF17" i="19"/>
  <c r="AG40" i="19"/>
  <c r="AF35" i="19"/>
  <c r="AE30" i="19"/>
  <c r="AG24" i="19"/>
  <c r="AF19" i="19"/>
  <c r="AE14" i="19"/>
  <c r="AE17" i="19"/>
  <c r="AG23" i="19"/>
  <c r="AF36" i="19"/>
  <c r="AE15" i="19"/>
  <c r="AF40" i="19"/>
  <c r="AG29" i="19"/>
  <c r="AE19" i="19"/>
  <c r="AG42" i="19"/>
  <c r="AF37" i="19"/>
  <c r="AE32" i="19"/>
  <c r="AE16" i="19"/>
  <c r="AF39" i="19"/>
  <c r="AE34" i="19"/>
  <c r="AG28" i="19"/>
  <c r="AF23" i="19"/>
  <c r="AE18" i="19"/>
  <c r="Z24" i="19"/>
  <c r="AA34" i="19"/>
  <c r="V34" i="19"/>
  <c r="V32" i="19"/>
  <c r="AA22" i="19"/>
  <c r="V22" i="19"/>
  <c r="Z33" i="19"/>
  <c r="U33" i="19"/>
  <c r="AA36" i="19"/>
  <c r="V36" i="19"/>
  <c r="Z28" i="19"/>
  <c r="U28" i="19"/>
  <c r="Z14" i="19"/>
  <c r="U14" i="19"/>
  <c r="Z25" i="19"/>
  <c r="U25" i="19"/>
  <c r="AB27" i="19"/>
  <c r="AC27" i="19" s="1"/>
  <c r="AB15" i="19"/>
  <c r="AC15" i="19" s="1"/>
  <c r="AB31" i="19"/>
  <c r="AC31" i="19" s="1"/>
  <c r="AB40" i="19"/>
  <c r="AC40" i="19" s="1"/>
  <c r="AB35" i="19"/>
  <c r="AC35" i="19" s="1"/>
  <c r="AB32" i="19"/>
  <c r="AC32" i="19" s="1"/>
  <c r="S29" i="19"/>
  <c r="AB39" i="19"/>
  <c r="AC39" i="19" s="1"/>
  <c r="AB16" i="19"/>
  <c r="AC16" i="19" s="1"/>
  <c r="S27" i="19"/>
  <c r="AB24" i="19"/>
  <c r="AC24" i="19" s="1"/>
  <c r="S13" i="19"/>
  <c r="S19" i="19"/>
  <c r="S41" i="19"/>
  <c r="AB19" i="19"/>
  <c r="AC19" i="19" s="1"/>
  <c r="S39" i="19"/>
  <c r="AB23" i="19"/>
  <c r="AC23" i="19" s="1"/>
  <c r="T40" i="19"/>
  <c r="T32" i="19"/>
  <c r="T24" i="19"/>
  <c r="T16" i="19"/>
  <c r="AB20" i="19"/>
  <c r="AC20" i="19" s="1"/>
  <c r="AB36" i="19"/>
  <c r="AC36" i="19" s="1"/>
  <c r="S42" i="19"/>
  <c r="S34" i="19"/>
  <c r="S26" i="19"/>
  <c r="S18" i="19"/>
  <c r="AB17" i="19"/>
  <c r="AC17" i="19" s="1"/>
  <c r="AB33" i="19"/>
  <c r="AC33" i="19" s="1"/>
  <c r="T41" i="19"/>
  <c r="T33" i="19"/>
  <c r="T25" i="19"/>
  <c r="T17" i="19"/>
  <c r="AB18" i="19"/>
  <c r="AC18" i="19" s="1"/>
  <c r="AB34" i="19"/>
  <c r="AC34" i="19" s="1"/>
  <c r="S33" i="19"/>
  <c r="S31" i="19"/>
  <c r="T38" i="19"/>
  <c r="T30" i="19"/>
  <c r="T22" i="19"/>
  <c r="T14" i="19"/>
  <c r="S40" i="19"/>
  <c r="S32" i="19"/>
  <c r="S24" i="19"/>
  <c r="S16" i="19"/>
  <c r="AB21" i="19"/>
  <c r="AC21" i="19" s="1"/>
  <c r="AB37" i="19"/>
  <c r="AC37" i="19" s="1"/>
  <c r="T39" i="19"/>
  <c r="T31" i="19"/>
  <c r="T23" i="19"/>
  <c r="T15" i="19"/>
  <c r="AB22" i="19"/>
  <c r="AC22" i="19" s="1"/>
  <c r="AB38" i="19"/>
  <c r="AC38" i="19" s="1"/>
  <c r="S37" i="19"/>
  <c r="S35" i="19"/>
  <c r="S25" i="19"/>
  <c r="S23" i="19"/>
  <c r="T36" i="19"/>
  <c r="T28" i="19"/>
  <c r="T20" i="19"/>
  <c r="AB28" i="19"/>
  <c r="AC28" i="19" s="1"/>
  <c r="S38" i="19"/>
  <c r="S30" i="19"/>
  <c r="S22" i="19"/>
  <c r="S14" i="19"/>
  <c r="AB25" i="19"/>
  <c r="AC25" i="19" s="1"/>
  <c r="AB41" i="19"/>
  <c r="AC41" i="19" s="1"/>
  <c r="T37" i="19"/>
  <c r="T29" i="19"/>
  <c r="T21" i="19"/>
  <c r="T13" i="19"/>
  <c r="AB26" i="19"/>
  <c r="AC26" i="19" s="1"/>
  <c r="AB42" i="19"/>
  <c r="AC42" i="19" s="1"/>
  <c r="S17" i="19"/>
  <c r="S15" i="19"/>
  <c r="T42" i="19"/>
  <c r="T34" i="19"/>
  <c r="T26" i="19"/>
  <c r="T18" i="19"/>
  <c r="S36" i="19"/>
  <c r="S28" i="19"/>
  <c r="S20" i="19"/>
  <c r="AB13" i="19"/>
  <c r="AC13" i="19" s="1"/>
  <c r="AB29" i="19"/>
  <c r="AC29" i="19" s="1"/>
  <c r="T35" i="19"/>
  <c r="T27" i="19"/>
  <c r="AB14" i="19"/>
  <c r="AC14" i="19" s="1"/>
  <c r="C5" i="19"/>
  <c r="K5" i="19" s="1"/>
  <c r="O12" i="19" s="1"/>
  <c r="HI9" i="9"/>
  <c r="FG40" i="18"/>
  <c r="FI40" i="18" s="1"/>
  <c r="ES40" i="18"/>
  <c r="EU40" i="18" s="1"/>
  <c r="EE40" i="18"/>
  <c r="EG40" i="18" s="1"/>
  <c r="DQ40" i="18"/>
  <c r="DS40" i="18" s="1"/>
  <c r="DC40" i="18"/>
  <c r="DE40" i="18" s="1"/>
  <c r="CO40" i="18"/>
  <c r="CQ40" i="18" s="1"/>
  <c r="FG39" i="18"/>
  <c r="FI39" i="18" s="1"/>
  <c r="ES39" i="18"/>
  <c r="EU39" i="18" s="1"/>
  <c r="EE39" i="18"/>
  <c r="EG39" i="18" s="1"/>
  <c r="DQ39" i="18"/>
  <c r="DS39" i="18" s="1"/>
  <c r="DC39" i="18"/>
  <c r="DE39" i="18" s="1"/>
  <c r="CO39" i="18"/>
  <c r="CQ39" i="18" s="1"/>
  <c r="FG38" i="18"/>
  <c r="FI38" i="18" s="1"/>
  <c r="ES38" i="18"/>
  <c r="EU38" i="18" s="1"/>
  <c r="EE38" i="18"/>
  <c r="EG38" i="18" s="1"/>
  <c r="DQ38" i="18"/>
  <c r="DS38" i="18" s="1"/>
  <c r="DC38" i="18"/>
  <c r="DE38" i="18" s="1"/>
  <c r="CO38" i="18"/>
  <c r="CQ38" i="18" s="1"/>
  <c r="FG37" i="18"/>
  <c r="FI37" i="18" s="1"/>
  <c r="ES37" i="18"/>
  <c r="EU37" i="18" s="1"/>
  <c r="EE37" i="18"/>
  <c r="EG37" i="18" s="1"/>
  <c r="DQ37" i="18"/>
  <c r="DS37" i="18" s="1"/>
  <c r="DC37" i="18"/>
  <c r="DE37" i="18" s="1"/>
  <c r="CO37" i="18"/>
  <c r="CQ37" i="18" s="1"/>
  <c r="FG36" i="18"/>
  <c r="FI36" i="18" s="1"/>
  <c r="ES36" i="18"/>
  <c r="EU36" i="18" s="1"/>
  <c r="EE36" i="18"/>
  <c r="EG36" i="18" s="1"/>
  <c r="DQ36" i="18"/>
  <c r="DS36" i="18" s="1"/>
  <c r="DC36" i="18"/>
  <c r="DE36" i="18" s="1"/>
  <c r="CO36" i="18"/>
  <c r="CQ36" i="18" s="1"/>
  <c r="FG35" i="18"/>
  <c r="FI35" i="18" s="1"/>
  <c r="ES35" i="18"/>
  <c r="EU35" i="18" s="1"/>
  <c r="EE35" i="18"/>
  <c r="EG35" i="18" s="1"/>
  <c r="DQ35" i="18"/>
  <c r="DS35" i="18" s="1"/>
  <c r="DC35" i="18"/>
  <c r="DE35" i="18" s="1"/>
  <c r="CO35" i="18"/>
  <c r="CQ35" i="18" s="1"/>
  <c r="FG34" i="18"/>
  <c r="FI34" i="18" s="1"/>
  <c r="ES34" i="18"/>
  <c r="EU34" i="18" s="1"/>
  <c r="EE34" i="18"/>
  <c r="EG34" i="18" s="1"/>
  <c r="DQ34" i="18"/>
  <c r="DS34" i="18" s="1"/>
  <c r="DC34" i="18"/>
  <c r="DE34" i="18" s="1"/>
  <c r="CO34" i="18"/>
  <c r="CQ34" i="18" s="1"/>
  <c r="FG33" i="18"/>
  <c r="FI33" i="18" s="1"/>
  <c r="ES33" i="18"/>
  <c r="EU33" i="18" s="1"/>
  <c r="EE33" i="18"/>
  <c r="EG33" i="18" s="1"/>
  <c r="DQ33" i="18"/>
  <c r="DS33" i="18" s="1"/>
  <c r="DC33" i="18"/>
  <c r="DE33" i="18" s="1"/>
  <c r="CO33" i="18"/>
  <c r="CQ33" i="18" s="1"/>
  <c r="FG32" i="18"/>
  <c r="FI32" i="18" s="1"/>
  <c r="ES32" i="18"/>
  <c r="EU32" i="18" s="1"/>
  <c r="EE32" i="18"/>
  <c r="EG32" i="18" s="1"/>
  <c r="DQ32" i="18"/>
  <c r="DS32" i="18" s="1"/>
  <c r="DC32" i="18"/>
  <c r="DE32" i="18" s="1"/>
  <c r="CO32" i="18"/>
  <c r="CQ32" i="18" s="1"/>
  <c r="FG31" i="18"/>
  <c r="FI31" i="18" s="1"/>
  <c r="ES31" i="18"/>
  <c r="EU31" i="18" s="1"/>
  <c r="EE31" i="18"/>
  <c r="EG31" i="18" s="1"/>
  <c r="DQ31" i="18"/>
  <c r="DS31" i="18" s="1"/>
  <c r="DC31" i="18"/>
  <c r="DE31" i="18" s="1"/>
  <c r="CO31" i="18"/>
  <c r="CQ31" i="18" s="1"/>
  <c r="FG30" i="18"/>
  <c r="FI30" i="18" s="1"/>
  <c r="ES30" i="18"/>
  <c r="EU30" i="18" s="1"/>
  <c r="EE30" i="18"/>
  <c r="EG30" i="18" s="1"/>
  <c r="DQ30" i="18"/>
  <c r="DS30" i="18" s="1"/>
  <c r="DC30" i="18"/>
  <c r="DE30" i="18" s="1"/>
  <c r="CO30" i="18"/>
  <c r="CQ30" i="18" s="1"/>
  <c r="FG29" i="18"/>
  <c r="FI29" i="18" s="1"/>
  <c r="ES29" i="18"/>
  <c r="EU29" i="18" s="1"/>
  <c r="EE29" i="18"/>
  <c r="EG29" i="18" s="1"/>
  <c r="DQ29" i="18"/>
  <c r="DS29" i="18" s="1"/>
  <c r="DC29" i="18"/>
  <c r="DE29" i="18" s="1"/>
  <c r="CO29" i="18"/>
  <c r="CQ29" i="18" s="1"/>
  <c r="FG28" i="18"/>
  <c r="FI28" i="18" s="1"/>
  <c r="ES28" i="18"/>
  <c r="EU28" i="18" s="1"/>
  <c r="EE28" i="18"/>
  <c r="EG28" i="18" s="1"/>
  <c r="DQ28" i="18"/>
  <c r="DS28" i="18" s="1"/>
  <c r="DC28" i="18"/>
  <c r="DE28" i="18" s="1"/>
  <c r="CO28" i="18"/>
  <c r="CQ28" i="18" s="1"/>
  <c r="FG27" i="18"/>
  <c r="FI27" i="18" s="1"/>
  <c r="ES27" i="18"/>
  <c r="EU27" i="18" s="1"/>
  <c r="EE27" i="18"/>
  <c r="EG27" i="18" s="1"/>
  <c r="DQ27" i="18"/>
  <c r="DS27" i="18" s="1"/>
  <c r="DC27" i="18"/>
  <c r="DE27" i="18" s="1"/>
  <c r="CO27" i="18"/>
  <c r="CQ27" i="18" s="1"/>
  <c r="FG26" i="18"/>
  <c r="FI26" i="18" s="1"/>
  <c r="ES26" i="18"/>
  <c r="EU26" i="18" s="1"/>
  <c r="EE26" i="18"/>
  <c r="EG26" i="18" s="1"/>
  <c r="DQ26" i="18"/>
  <c r="DS26" i="18" s="1"/>
  <c r="DC26" i="18"/>
  <c r="DE26" i="18" s="1"/>
  <c r="CO26" i="18"/>
  <c r="CQ26" i="18" s="1"/>
  <c r="FG25" i="18"/>
  <c r="FI25" i="18" s="1"/>
  <c r="ES25" i="18"/>
  <c r="EU25" i="18" s="1"/>
  <c r="EE25" i="18"/>
  <c r="EG25" i="18" s="1"/>
  <c r="DQ25" i="18"/>
  <c r="DS25" i="18" s="1"/>
  <c r="DC25" i="18"/>
  <c r="DE25" i="18" s="1"/>
  <c r="CO25" i="18"/>
  <c r="CQ25" i="18" s="1"/>
  <c r="FG24" i="18"/>
  <c r="FI24" i="18" s="1"/>
  <c r="ES24" i="18"/>
  <c r="EU24" i="18" s="1"/>
  <c r="EE24" i="18"/>
  <c r="EG24" i="18" s="1"/>
  <c r="DQ24" i="18"/>
  <c r="DS24" i="18" s="1"/>
  <c r="DC24" i="18"/>
  <c r="DE24" i="18" s="1"/>
  <c r="CO24" i="18"/>
  <c r="CQ24" i="18" s="1"/>
  <c r="FG23" i="18"/>
  <c r="FI23" i="18" s="1"/>
  <c r="ES23" i="18"/>
  <c r="EU23" i="18" s="1"/>
  <c r="EE23" i="18"/>
  <c r="EG23" i="18" s="1"/>
  <c r="DQ23" i="18"/>
  <c r="DS23" i="18" s="1"/>
  <c r="DC23" i="18"/>
  <c r="DE23" i="18" s="1"/>
  <c r="CO23" i="18"/>
  <c r="CQ23" i="18" s="1"/>
  <c r="FG22" i="18"/>
  <c r="FI22" i="18" s="1"/>
  <c r="ES22" i="18"/>
  <c r="EU22" i="18" s="1"/>
  <c r="EE22" i="18"/>
  <c r="EG22" i="18" s="1"/>
  <c r="DQ22" i="18"/>
  <c r="DS22" i="18" s="1"/>
  <c r="DC22" i="18"/>
  <c r="DE22" i="18" s="1"/>
  <c r="CO22" i="18"/>
  <c r="CQ22" i="18" s="1"/>
  <c r="FG21" i="18"/>
  <c r="FI21" i="18" s="1"/>
  <c r="ES21" i="18"/>
  <c r="EU21" i="18" s="1"/>
  <c r="EE21" i="18"/>
  <c r="EG21" i="18" s="1"/>
  <c r="DQ21" i="18"/>
  <c r="DS21" i="18" s="1"/>
  <c r="DC21" i="18"/>
  <c r="DE21" i="18" s="1"/>
  <c r="CO21" i="18"/>
  <c r="CQ21" i="18" s="1"/>
  <c r="FG20" i="18"/>
  <c r="FI20" i="18" s="1"/>
  <c r="ES20" i="18"/>
  <c r="EU20" i="18" s="1"/>
  <c r="EE20" i="18"/>
  <c r="EG20" i="18" s="1"/>
  <c r="DQ20" i="18"/>
  <c r="DS20" i="18" s="1"/>
  <c r="DC20" i="18"/>
  <c r="DE20" i="18" s="1"/>
  <c r="CO20" i="18"/>
  <c r="CQ20" i="18" s="1"/>
  <c r="FG19" i="18"/>
  <c r="FI19" i="18" s="1"/>
  <c r="ES19" i="18"/>
  <c r="EU19" i="18" s="1"/>
  <c r="EE19" i="18"/>
  <c r="EG19" i="18" s="1"/>
  <c r="DQ19" i="18"/>
  <c r="DS19" i="18" s="1"/>
  <c r="DC19" i="18"/>
  <c r="DE19" i="18" s="1"/>
  <c r="CO19" i="18"/>
  <c r="CQ19" i="18" s="1"/>
  <c r="FG18" i="18"/>
  <c r="FI18" i="18" s="1"/>
  <c r="ES18" i="18"/>
  <c r="EU18" i="18" s="1"/>
  <c r="EE18" i="18"/>
  <c r="EG18" i="18" s="1"/>
  <c r="DQ18" i="18"/>
  <c r="DS18" i="18" s="1"/>
  <c r="DC18" i="18"/>
  <c r="DE18" i="18" s="1"/>
  <c r="CO18" i="18"/>
  <c r="CQ18" i="18" s="1"/>
  <c r="FG17" i="18"/>
  <c r="FI17" i="18" s="1"/>
  <c r="ES17" i="18"/>
  <c r="EU17" i="18" s="1"/>
  <c r="EE17" i="18"/>
  <c r="EG17" i="18" s="1"/>
  <c r="DQ17" i="18"/>
  <c r="DS17" i="18" s="1"/>
  <c r="DC17" i="18"/>
  <c r="DE17" i="18" s="1"/>
  <c r="CO17" i="18"/>
  <c r="CQ17" i="18" s="1"/>
  <c r="FG16" i="18"/>
  <c r="FI16" i="18" s="1"/>
  <c r="ES16" i="18"/>
  <c r="EU16" i="18" s="1"/>
  <c r="EE16" i="18"/>
  <c r="EG16" i="18" s="1"/>
  <c r="DQ16" i="18"/>
  <c r="DS16" i="18" s="1"/>
  <c r="DC16" i="18"/>
  <c r="DE16" i="18" s="1"/>
  <c r="CO16" i="18"/>
  <c r="CQ16" i="18" s="1"/>
  <c r="FG15" i="18"/>
  <c r="FI15" i="18" s="1"/>
  <c r="ES15" i="18"/>
  <c r="EU15" i="18" s="1"/>
  <c r="EE15" i="18"/>
  <c r="EG15" i="18" s="1"/>
  <c r="DQ15" i="18"/>
  <c r="DS15" i="18" s="1"/>
  <c r="DC15" i="18"/>
  <c r="DE15" i="18" s="1"/>
  <c r="CO15" i="18"/>
  <c r="CQ15" i="18" s="1"/>
  <c r="FG10" i="18"/>
  <c r="FI10" i="18" s="1"/>
  <c r="ES10" i="18"/>
  <c r="EU10" i="18" s="1"/>
  <c r="EE10" i="18"/>
  <c r="EG10" i="18" s="1"/>
  <c r="DQ10" i="18"/>
  <c r="DS10" i="18" s="1"/>
  <c r="DC10" i="18"/>
  <c r="DE10" i="18" s="1"/>
  <c r="CO10" i="18"/>
  <c r="CQ10" i="18" s="1"/>
  <c r="CQ18" i="17" l="1"/>
  <c r="CS18" i="17" s="1"/>
  <c r="CQ17" i="17"/>
  <c r="CS17" i="17" s="1"/>
  <c r="CQ19" i="17"/>
  <c r="CS19" i="17" s="1"/>
  <c r="V20" i="19"/>
  <c r="V42" i="19"/>
  <c r="Z30" i="19"/>
  <c r="U42" i="19"/>
  <c r="Z39" i="19"/>
  <c r="U18" i="19"/>
  <c r="U22" i="19"/>
  <c r="V30" i="19"/>
  <c r="Z16" i="19"/>
  <c r="AA14" i="19"/>
  <c r="Z34" i="19"/>
  <c r="Z37" i="19"/>
  <c r="Z26" i="19"/>
  <c r="AN18" i="4"/>
  <c r="AN19" i="4"/>
  <c r="AN17" i="4"/>
  <c r="Z20" i="19"/>
  <c r="V28" i="19"/>
  <c r="AA12" i="19"/>
  <c r="Z41" i="19"/>
  <c r="V26" i="19"/>
  <c r="AA27" i="19"/>
  <c r="V25" i="19"/>
  <c r="AA23" i="19"/>
  <c r="AA24" i="19"/>
  <c r="AA38" i="19"/>
  <c r="U13" i="19"/>
  <c r="Z15" i="19"/>
  <c r="U32" i="19"/>
  <c r="Z40" i="19"/>
  <c r="Q19" i="10"/>
  <c r="L15" i="3"/>
  <c r="V35" i="19"/>
  <c r="V40" i="19"/>
  <c r="V13" i="19"/>
  <c r="U27" i="19"/>
  <c r="U21" i="19"/>
  <c r="V29" i="19"/>
  <c r="AA16" i="19"/>
  <c r="AA18" i="19"/>
  <c r="AA37" i="19"/>
  <c r="V19" i="19"/>
  <c r="U23" i="19"/>
  <c r="V31" i="19"/>
  <c r="U36" i="19"/>
  <c r="U38" i="19"/>
  <c r="Z35" i="19"/>
  <c r="AA21" i="19"/>
  <c r="AE43" i="19"/>
  <c r="V33" i="19"/>
  <c r="V41" i="19"/>
  <c r="V39" i="19"/>
  <c r="U12" i="19"/>
  <c r="U17" i="19"/>
  <c r="U19" i="19"/>
  <c r="U29" i="19"/>
  <c r="U31" i="19"/>
  <c r="AG43" i="19"/>
  <c r="AA17" i="19"/>
  <c r="AA15" i="19"/>
  <c r="AF43" i="19"/>
  <c r="S43" i="19"/>
  <c r="AC12" i="19"/>
  <c r="AC43" i="19" s="1"/>
  <c r="AB43" i="19"/>
  <c r="T43" i="19"/>
  <c r="N12" i="19"/>
  <c r="P12" i="19"/>
  <c r="O14" i="19"/>
  <c r="P14" i="19" s="1"/>
  <c r="O16" i="19"/>
  <c r="P16" i="19" s="1"/>
  <c r="O29" i="19"/>
  <c r="O23" i="19"/>
  <c r="P23" i="19" s="1"/>
  <c r="O25" i="19"/>
  <c r="O19" i="19"/>
  <c r="P19" i="19" s="1"/>
  <c r="O21" i="19"/>
  <c r="O30" i="19"/>
  <c r="P30" i="19" s="1"/>
  <c r="O32" i="19"/>
  <c r="P32" i="19" s="1"/>
  <c r="O26" i="19"/>
  <c r="P26" i="19" s="1"/>
  <c r="O39" i="19"/>
  <c r="O41" i="19"/>
  <c r="P41" i="19" s="1"/>
  <c r="O35" i="19"/>
  <c r="P35" i="19" s="1"/>
  <c r="O37" i="19"/>
  <c r="P37" i="19" s="1"/>
  <c r="O31" i="19"/>
  <c r="O33" i="19"/>
  <c r="P33" i="19" s="1"/>
  <c r="O27" i="19"/>
  <c r="O13" i="19"/>
  <c r="P13" i="19" s="1"/>
  <c r="O38" i="19"/>
  <c r="O40" i="19"/>
  <c r="P40" i="19" s="1"/>
  <c r="O34" i="19"/>
  <c r="O36" i="19"/>
  <c r="P36" i="19" s="1"/>
  <c r="O15" i="19"/>
  <c r="O17" i="19"/>
  <c r="P17" i="19" s="1"/>
  <c r="O42" i="19"/>
  <c r="P42" i="19" s="1"/>
  <c r="O28" i="19"/>
  <c r="P28" i="19" s="1"/>
  <c r="O22" i="19"/>
  <c r="P22" i="19" s="1"/>
  <c r="O24" i="19"/>
  <c r="P24" i="19" s="1"/>
  <c r="O18" i="19"/>
  <c r="P18" i="19" s="1"/>
  <c r="O20" i="19"/>
  <c r="P20" i="19" s="1"/>
  <c r="EJ9" i="9"/>
  <c r="DK9" i="9"/>
  <c r="CL9" i="9"/>
  <c r="BM9" i="9"/>
  <c r="AN9" i="9"/>
  <c r="AP9" i="9" s="1"/>
  <c r="A1" i="9"/>
  <c r="Q20" i="10" l="1"/>
  <c r="Q19" i="4"/>
  <c r="Z43" i="19"/>
  <c r="V43" i="19"/>
  <c r="U43" i="19"/>
  <c r="AA43" i="19"/>
  <c r="N18" i="19"/>
  <c r="N42" i="19"/>
  <c r="N34" i="19"/>
  <c r="N27" i="19"/>
  <c r="N35" i="19"/>
  <c r="N32" i="19"/>
  <c r="N25" i="19"/>
  <c r="N14" i="19"/>
  <c r="N22" i="19"/>
  <c r="N24" i="19"/>
  <c r="N17" i="19"/>
  <c r="N40" i="19"/>
  <c r="N33" i="19"/>
  <c r="N41" i="19"/>
  <c r="N30" i="19"/>
  <c r="N23" i="19"/>
  <c r="N15" i="19"/>
  <c r="N31" i="19"/>
  <c r="N39" i="19"/>
  <c r="N21" i="19"/>
  <c r="N29" i="19"/>
  <c r="N38" i="19"/>
  <c r="P31" i="19"/>
  <c r="P39" i="19"/>
  <c r="N20" i="19"/>
  <c r="N28" i="19"/>
  <c r="N36" i="19"/>
  <c r="N13" i="19"/>
  <c r="N37" i="19"/>
  <c r="N26" i="19"/>
  <c r="N19" i="19"/>
  <c r="N16" i="19"/>
  <c r="P21" i="19"/>
  <c r="P25" i="19"/>
  <c r="P29" i="19"/>
  <c r="P34" i="19"/>
  <c r="P38" i="19"/>
  <c r="P27" i="19"/>
  <c r="P15" i="19"/>
  <c r="EL9" i="9"/>
  <c r="DM9" i="9"/>
  <c r="CN9" i="9"/>
  <c r="BO9" i="9"/>
  <c r="P9" i="9"/>
  <c r="O9" i="9"/>
  <c r="B14" i="9"/>
  <c r="D14" i="9" s="1"/>
  <c r="CA40" i="18"/>
  <c r="CC40" i="18" s="1"/>
  <c r="CA39" i="18"/>
  <c r="CC39" i="18" s="1"/>
  <c r="CA38" i="18"/>
  <c r="CC38" i="18" s="1"/>
  <c r="CA37" i="18"/>
  <c r="CC37" i="18" s="1"/>
  <c r="CA36" i="18"/>
  <c r="CC36" i="18" s="1"/>
  <c r="CA35" i="18"/>
  <c r="CC35" i="18" s="1"/>
  <c r="CA34" i="18"/>
  <c r="CC34" i="18" s="1"/>
  <c r="CA33" i="18"/>
  <c r="CC33" i="18" s="1"/>
  <c r="CA32" i="18"/>
  <c r="CC32" i="18" s="1"/>
  <c r="CA31" i="18"/>
  <c r="CC31" i="18" s="1"/>
  <c r="CA30" i="18"/>
  <c r="CC30" i="18" s="1"/>
  <c r="CA29" i="18"/>
  <c r="CC29" i="18" s="1"/>
  <c r="CA28" i="18"/>
  <c r="CC28" i="18" s="1"/>
  <c r="CA27" i="18"/>
  <c r="CC27" i="18" s="1"/>
  <c r="CA26" i="18"/>
  <c r="CC26" i="18" s="1"/>
  <c r="CA25" i="18"/>
  <c r="CC25" i="18" s="1"/>
  <c r="CA24" i="18"/>
  <c r="CC24" i="18" s="1"/>
  <c r="CA23" i="18"/>
  <c r="CC23" i="18" s="1"/>
  <c r="CA22" i="18"/>
  <c r="CC22" i="18" s="1"/>
  <c r="CA21" i="18"/>
  <c r="CC21" i="18" s="1"/>
  <c r="CA20" i="18"/>
  <c r="CC20" i="18" s="1"/>
  <c r="CA19" i="18"/>
  <c r="CC19" i="18" s="1"/>
  <c r="CA18" i="18"/>
  <c r="CC18" i="18" s="1"/>
  <c r="CA17" i="18"/>
  <c r="CC17" i="18" s="1"/>
  <c r="CA16" i="18"/>
  <c r="CC16" i="18" s="1"/>
  <c r="CA15" i="18"/>
  <c r="CC15" i="18" s="1"/>
  <c r="CA10" i="18"/>
  <c r="CC10" i="18" s="1"/>
  <c r="BM40" i="18"/>
  <c r="BO40" i="18" s="1"/>
  <c r="BM39" i="18"/>
  <c r="BO39" i="18" s="1"/>
  <c r="BM38" i="18"/>
  <c r="BO38" i="18" s="1"/>
  <c r="BM37" i="18"/>
  <c r="BO37" i="18" s="1"/>
  <c r="BM36" i="18"/>
  <c r="BO36" i="18" s="1"/>
  <c r="BM35" i="18"/>
  <c r="BO35" i="18" s="1"/>
  <c r="BM34" i="18"/>
  <c r="BO34" i="18" s="1"/>
  <c r="BM33" i="18"/>
  <c r="BO33" i="18" s="1"/>
  <c r="BM32" i="18"/>
  <c r="BO32" i="18" s="1"/>
  <c r="BM31" i="18"/>
  <c r="BO31" i="18" s="1"/>
  <c r="BM30" i="18"/>
  <c r="BO30" i="18" s="1"/>
  <c r="BM29" i="18"/>
  <c r="BO29" i="18" s="1"/>
  <c r="BM28" i="18"/>
  <c r="BO28" i="18" s="1"/>
  <c r="BM27" i="18"/>
  <c r="BO27" i="18" s="1"/>
  <c r="BM26" i="18"/>
  <c r="BO26" i="18" s="1"/>
  <c r="BM25" i="18"/>
  <c r="BO25" i="18" s="1"/>
  <c r="BM24" i="18"/>
  <c r="BO24" i="18" s="1"/>
  <c r="BM23" i="18"/>
  <c r="BO23" i="18" s="1"/>
  <c r="BM22" i="18"/>
  <c r="BO22" i="18" s="1"/>
  <c r="BM21" i="18"/>
  <c r="BO21" i="18" s="1"/>
  <c r="BM20" i="18"/>
  <c r="BO20" i="18" s="1"/>
  <c r="BM19" i="18"/>
  <c r="BO19" i="18" s="1"/>
  <c r="BM18" i="18"/>
  <c r="BO18" i="18" s="1"/>
  <c r="BM17" i="18"/>
  <c r="BO17" i="18" s="1"/>
  <c r="BM16" i="18"/>
  <c r="BO16" i="18" s="1"/>
  <c r="BM15" i="18"/>
  <c r="BO15" i="18" s="1"/>
  <c r="BO10" i="18"/>
  <c r="AY40" i="18"/>
  <c r="BA40" i="18" s="1"/>
  <c r="AY39" i="18"/>
  <c r="BA39" i="18" s="1"/>
  <c r="AY38" i="18"/>
  <c r="BA38" i="18" s="1"/>
  <c r="AY37" i="18"/>
  <c r="BA37" i="18" s="1"/>
  <c r="AY36" i="18"/>
  <c r="BA36" i="18" s="1"/>
  <c r="AY35" i="18"/>
  <c r="BA35" i="18" s="1"/>
  <c r="AY34" i="18"/>
  <c r="BA34" i="18" s="1"/>
  <c r="AY33" i="18"/>
  <c r="BA33" i="18" s="1"/>
  <c r="AY32" i="18"/>
  <c r="BA32" i="18" s="1"/>
  <c r="AY31" i="18"/>
  <c r="BA31" i="18" s="1"/>
  <c r="AY30" i="18"/>
  <c r="BA30" i="18" s="1"/>
  <c r="AY29" i="18"/>
  <c r="BA29" i="18" s="1"/>
  <c r="AY28" i="18"/>
  <c r="BA28" i="18" s="1"/>
  <c r="AY27" i="18"/>
  <c r="BA27" i="18" s="1"/>
  <c r="AY26" i="18"/>
  <c r="BA26" i="18" s="1"/>
  <c r="AY25" i="18"/>
  <c r="BA25" i="18" s="1"/>
  <c r="AY24" i="18"/>
  <c r="BA24" i="18" s="1"/>
  <c r="AY23" i="18"/>
  <c r="BA23" i="18" s="1"/>
  <c r="AY22" i="18"/>
  <c r="BA22" i="18" s="1"/>
  <c r="AY21" i="18"/>
  <c r="BA21" i="18" s="1"/>
  <c r="AY20" i="18"/>
  <c r="BA20" i="18" s="1"/>
  <c r="AY19" i="18"/>
  <c r="BA19" i="18" s="1"/>
  <c r="AY18" i="18"/>
  <c r="BA18" i="18" s="1"/>
  <c r="AY17" i="18"/>
  <c r="BA17" i="18" s="1"/>
  <c r="AY16" i="18"/>
  <c r="BA16" i="18" s="1"/>
  <c r="AY15" i="18"/>
  <c r="BA15" i="18" s="1"/>
  <c r="AY10" i="18"/>
  <c r="BA10" i="18" s="1"/>
  <c r="AK40" i="18"/>
  <c r="AM40" i="18" s="1"/>
  <c r="AK39" i="18"/>
  <c r="AM39" i="18" s="1"/>
  <c r="AK38" i="18"/>
  <c r="AM38" i="18" s="1"/>
  <c r="AK37" i="18"/>
  <c r="AM37" i="18" s="1"/>
  <c r="AK36" i="18"/>
  <c r="AM36" i="18" s="1"/>
  <c r="AK35" i="18"/>
  <c r="AM35" i="18" s="1"/>
  <c r="AK34" i="18"/>
  <c r="AM34" i="18" s="1"/>
  <c r="AK33" i="18"/>
  <c r="AM33" i="18" s="1"/>
  <c r="AK32" i="18"/>
  <c r="AM32" i="18" s="1"/>
  <c r="AK31" i="18"/>
  <c r="AM31" i="18" s="1"/>
  <c r="AK30" i="18"/>
  <c r="AM30" i="18" s="1"/>
  <c r="AK29" i="18"/>
  <c r="AM29" i="18" s="1"/>
  <c r="AK28" i="18"/>
  <c r="AM28" i="18" s="1"/>
  <c r="AK27" i="18"/>
  <c r="AM27" i="18" s="1"/>
  <c r="AK26" i="18"/>
  <c r="AM26" i="18" s="1"/>
  <c r="AK25" i="18"/>
  <c r="AM25" i="18" s="1"/>
  <c r="AK24" i="18"/>
  <c r="AM24" i="18" s="1"/>
  <c r="AK23" i="18"/>
  <c r="AM23" i="18" s="1"/>
  <c r="AK22" i="18"/>
  <c r="AM22" i="18" s="1"/>
  <c r="AK21" i="18"/>
  <c r="AM21" i="18" s="1"/>
  <c r="AK20" i="18"/>
  <c r="AM20" i="18" s="1"/>
  <c r="AK19" i="18"/>
  <c r="AM19" i="18" s="1"/>
  <c r="AK18" i="18"/>
  <c r="AM18" i="18" s="1"/>
  <c r="AK17" i="18"/>
  <c r="AM17" i="18" s="1"/>
  <c r="AK16" i="18"/>
  <c r="AM16" i="18" s="1"/>
  <c r="AK15" i="18"/>
  <c r="AM15" i="18" s="1"/>
  <c r="AK10" i="18"/>
  <c r="AM10" i="18" s="1"/>
  <c r="W40" i="18"/>
  <c r="Y40" i="18" s="1"/>
  <c r="W39" i="18"/>
  <c r="Y39" i="18" s="1"/>
  <c r="W38" i="18"/>
  <c r="Y38" i="18" s="1"/>
  <c r="W37" i="18"/>
  <c r="Y37" i="18" s="1"/>
  <c r="W36" i="18"/>
  <c r="Y36" i="18" s="1"/>
  <c r="W35" i="18"/>
  <c r="Y35" i="18" s="1"/>
  <c r="W34" i="18"/>
  <c r="Y34" i="18" s="1"/>
  <c r="W33" i="18"/>
  <c r="Y33" i="18" s="1"/>
  <c r="W32" i="18"/>
  <c r="Y32" i="18" s="1"/>
  <c r="W31" i="18"/>
  <c r="Y31" i="18" s="1"/>
  <c r="W30" i="18"/>
  <c r="Y30" i="18" s="1"/>
  <c r="W29" i="18"/>
  <c r="Y29" i="18" s="1"/>
  <c r="W28" i="18"/>
  <c r="Y28" i="18" s="1"/>
  <c r="W27" i="18"/>
  <c r="Y27" i="18" s="1"/>
  <c r="W26" i="18"/>
  <c r="Y26" i="18" s="1"/>
  <c r="W25" i="18"/>
  <c r="Y25" i="18" s="1"/>
  <c r="W24" i="18"/>
  <c r="Y24" i="18" s="1"/>
  <c r="W23" i="18"/>
  <c r="Y23" i="18" s="1"/>
  <c r="W22" i="18"/>
  <c r="Y22" i="18" s="1"/>
  <c r="W21" i="18"/>
  <c r="Y21" i="18" s="1"/>
  <c r="W20" i="18"/>
  <c r="Y20" i="18" s="1"/>
  <c r="W19" i="18"/>
  <c r="Y19" i="18" s="1"/>
  <c r="W18" i="18"/>
  <c r="Y18" i="18" s="1"/>
  <c r="W17" i="18"/>
  <c r="Y17" i="18" s="1"/>
  <c r="W16" i="18"/>
  <c r="Y16" i="18" s="1"/>
  <c r="W15" i="18"/>
  <c r="Y15" i="18" s="1"/>
  <c r="W10" i="18"/>
  <c r="Y10" i="18" s="1"/>
  <c r="I40" i="18"/>
  <c r="K40" i="18" s="1"/>
  <c r="I39" i="18"/>
  <c r="K39" i="18" s="1"/>
  <c r="I38" i="18"/>
  <c r="K38" i="18" s="1"/>
  <c r="I37" i="18"/>
  <c r="K37" i="18" s="1"/>
  <c r="I36" i="18"/>
  <c r="K36" i="18" s="1"/>
  <c r="I35" i="18"/>
  <c r="K35" i="18" s="1"/>
  <c r="I34" i="18"/>
  <c r="K34" i="18" s="1"/>
  <c r="I33" i="18"/>
  <c r="K33" i="18" s="1"/>
  <c r="I32" i="18"/>
  <c r="K32" i="18" s="1"/>
  <c r="I31" i="18"/>
  <c r="K31" i="18" s="1"/>
  <c r="I30" i="18"/>
  <c r="K30" i="18" s="1"/>
  <c r="I29" i="18"/>
  <c r="K29" i="18" s="1"/>
  <c r="I28" i="18"/>
  <c r="K28" i="18" s="1"/>
  <c r="I27" i="18"/>
  <c r="K27" i="18" s="1"/>
  <c r="I26" i="18"/>
  <c r="K26" i="18" s="1"/>
  <c r="I25" i="18"/>
  <c r="K25" i="18" s="1"/>
  <c r="I24" i="18"/>
  <c r="K24" i="18" s="1"/>
  <c r="I23" i="18"/>
  <c r="K23" i="18" s="1"/>
  <c r="I22" i="18"/>
  <c r="K22" i="18" s="1"/>
  <c r="I21" i="18"/>
  <c r="K21" i="18" s="1"/>
  <c r="I20" i="18"/>
  <c r="K20" i="18" s="1"/>
  <c r="I19" i="18"/>
  <c r="K19" i="18" s="1"/>
  <c r="I18" i="18"/>
  <c r="K18" i="18" s="1"/>
  <c r="I17" i="18"/>
  <c r="K17" i="18" s="1"/>
  <c r="I10" i="18"/>
  <c r="K10" i="18" l="1"/>
  <c r="I11" i="18"/>
  <c r="Q9" i="9"/>
  <c r="C22" i="9"/>
  <c r="C14" i="9"/>
  <c r="B25" i="9"/>
  <c r="D25" i="9" s="1"/>
  <c r="B24" i="9"/>
  <c r="D24" i="9" s="1"/>
  <c r="B23" i="9"/>
  <c r="D23" i="9" s="1"/>
  <c r="B22" i="9"/>
  <c r="D22" i="9" s="1"/>
  <c r="B21" i="9"/>
  <c r="D21" i="9" s="1"/>
  <c r="B20" i="9"/>
  <c r="D20" i="9" s="1"/>
  <c r="B19" i="9"/>
  <c r="D19" i="9" s="1"/>
  <c r="B18" i="9"/>
  <c r="D18" i="9" s="1"/>
  <c r="B17" i="9"/>
  <c r="D17" i="9" s="1"/>
  <c r="B16" i="9"/>
  <c r="D16" i="9" s="1"/>
  <c r="B15" i="9"/>
  <c r="D15" i="9" s="1"/>
  <c r="K11" i="18" l="1"/>
  <c r="I12" i="18"/>
  <c r="HM9" i="9"/>
  <c r="U9" i="9"/>
  <c r="I6" i="18"/>
  <c r="K12" i="18" l="1"/>
  <c r="I13" i="18"/>
  <c r="I1" i="18"/>
  <c r="K38" i="19"/>
  <c r="K24" i="19"/>
  <c r="K40" i="19"/>
  <c r="K25" i="19"/>
  <c r="K41" i="19"/>
  <c r="K26" i="19"/>
  <c r="K42" i="19"/>
  <c r="K27" i="19"/>
  <c r="K12" i="19"/>
  <c r="K28" i="19"/>
  <c r="K13" i="19"/>
  <c r="K29" i="19"/>
  <c r="K14" i="19"/>
  <c r="K30" i="19"/>
  <c r="K15" i="19"/>
  <c r="K31" i="19"/>
  <c r="K16" i="19"/>
  <c r="K32" i="19"/>
  <c r="K17" i="19"/>
  <c r="K33" i="19"/>
  <c r="K18" i="19"/>
  <c r="K34" i="19"/>
  <c r="K19" i="19"/>
  <c r="K35" i="19"/>
  <c r="K20" i="19"/>
  <c r="K36" i="19"/>
  <c r="K21" i="19"/>
  <c r="K37" i="19"/>
  <c r="K22" i="19"/>
  <c r="K23" i="19"/>
  <c r="K39" i="19"/>
  <c r="R9" i="9"/>
  <c r="AL1" i="9"/>
  <c r="V1" i="9"/>
  <c r="S1" i="9"/>
  <c r="Y1" i="9"/>
  <c r="W1" i="9"/>
  <c r="X1" i="9"/>
  <c r="AA1" i="9"/>
  <c r="AD1" i="9"/>
  <c r="N1" i="9"/>
  <c r="AG1" i="9"/>
  <c r="Q1" i="9"/>
  <c r="AF1" i="9"/>
  <c r="P1" i="9"/>
  <c r="AE1" i="9"/>
  <c r="M1" i="9"/>
  <c r="AI1" i="9"/>
  <c r="AH1" i="9"/>
  <c r="AK1" i="9"/>
  <c r="AJ1" i="9"/>
  <c r="O1" i="9"/>
  <c r="U1" i="9"/>
  <c r="T1" i="9"/>
  <c r="Z1" i="9"/>
  <c r="AC1" i="9"/>
  <c r="AB1" i="9"/>
  <c r="R1" i="9"/>
  <c r="HJ9" i="9"/>
  <c r="HK9" i="9" s="1"/>
  <c r="HU1" i="9"/>
  <c r="IB1" i="9"/>
  <c r="HL1" i="9"/>
  <c r="HS1" i="9"/>
  <c r="ID1" i="9"/>
  <c r="HN1" i="9"/>
  <c r="IC1" i="9"/>
  <c r="HM1" i="9"/>
  <c r="HT1" i="9"/>
  <c r="IA1" i="9"/>
  <c r="HK1" i="9"/>
  <c r="HV1" i="9"/>
  <c r="HF1" i="9"/>
  <c r="HQ1" i="9"/>
  <c r="HH1" i="9"/>
  <c r="HZ1" i="9"/>
  <c r="HX1" i="9"/>
  <c r="HO1" i="9"/>
  <c r="HJ1" i="9"/>
  <c r="HY1" i="9"/>
  <c r="HG1" i="9"/>
  <c r="HI1" i="9"/>
  <c r="HR1" i="9"/>
  <c r="HW1" i="9"/>
  <c r="HP1" i="9"/>
  <c r="I5" i="3"/>
  <c r="I6" i="3" s="1"/>
  <c r="I7" i="3" s="1"/>
  <c r="I8" i="3" s="1"/>
  <c r="I9" i="3" s="1"/>
  <c r="I10" i="3" s="1"/>
  <c r="I11" i="3" s="1"/>
  <c r="I12" i="3" s="1"/>
  <c r="I13" i="3" s="1"/>
  <c r="I14" i="3" s="1"/>
  <c r="I15" i="3" s="1"/>
  <c r="G15" i="3"/>
  <c r="G14" i="3"/>
  <c r="G13" i="3"/>
  <c r="G12" i="3"/>
  <c r="G11" i="3"/>
  <c r="G10" i="3"/>
  <c r="G9" i="3"/>
  <c r="G8" i="3"/>
  <c r="G7" i="3"/>
  <c r="G6" i="3"/>
  <c r="G5" i="3"/>
  <c r="AG8" i="16"/>
  <c r="F6" i="20" s="1"/>
  <c r="EE5" i="17" l="1"/>
  <c r="X7" i="21" s="1"/>
  <c r="DE4" i="17"/>
  <c r="Q8" i="21" s="1"/>
  <c r="DR5" i="17"/>
  <c r="R10" i="21" s="1"/>
  <c r="CY4" i="17"/>
  <c r="Q7" i="21" s="1"/>
  <c r="EE4" i="17"/>
  <c r="W7" i="21" s="1"/>
  <c r="DL4" i="17"/>
  <c r="Q9" i="21" s="1"/>
  <c r="DR4" i="17"/>
  <c r="Q10" i="21" s="1"/>
  <c r="CY5" i="17"/>
  <c r="R7" i="21" s="1"/>
  <c r="DL5" i="17"/>
  <c r="R9" i="21" s="1"/>
  <c r="DY4" i="17"/>
  <c r="Q11" i="21" s="1"/>
  <c r="DY5" i="17"/>
  <c r="R11" i="21" s="1"/>
  <c r="DE5" i="17"/>
  <c r="R8" i="21" s="1"/>
  <c r="AE5" i="3"/>
  <c r="Z9" i="17"/>
  <c r="AE9" i="3"/>
  <c r="Z13" i="17"/>
  <c r="AE6" i="3"/>
  <c r="Z10" i="17"/>
  <c r="AE10" i="3"/>
  <c r="Z14" i="17"/>
  <c r="AE13" i="3"/>
  <c r="Z17" i="17"/>
  <c r="AQ17" i="17" s="1"/>
  <c r="AE7" i="3"/>
  <c r="Z11" i="17"/>
  <c r="AE11" i="3"/>
  <c r="Z15" i="17"/>
  <c r="AE14" i="3"/>
  <c r="Z18" i="17"/>
  <c r="AQ18" i="17" s="1"/>
  <c r="AE8" i="3"/>
  <c r="Z12" i="17"/>
  <c r="AE12" i="3"/>
  <c r="Z16" i="17"/>
  <c r="AE15" i="3"/>
  <c r="Z19" i="17"/>
  <c r="AQ19" i="17" s="1"/>
  <c r="AJ5" i="3"/>
  <c r="AI5" i="3"/>
  <c r="AJ9" i="3"/>
  <c r="AI9" i="3"/>
  <c r="AI6" i="3"/>
  <c r="AJ6" i="3"/>
  <c r="AJ10" i="3"/>
  <c r="AI10" i="3"/>
  <c r="AJ13" i="3"/>
  <c r="AI13" i="3"/>
  <c r="AJ7" i="3"/>
  <c r="AI7" i="3"/>
  <c r="AJ11" i="3"/>
  <c r="AI11" i="3"/>
  <c r="AJ14" i="3"/>
  <c r="AI14" i="3"/>
  <c r="AI8" i="3"/>
  <c r="AJ8" i="3"/>
  <c r="AJ12" i="3"/>
  <c r="AI12" i="3"/>
  <c r="AJ15" i="3"/>
  <c r="AI15" i="3"/>
  <c r="T10" i="4"/>
  <c r="T14" i="4"/>
  <c r="T11" i="4"/>
  <c r="S11" i="4" s="1"/>
  <c r="T15" i="4"/>
  <c r="S15" i="4" s="1"/>
  <c r="T12" i="4"/>
  <c r="T16" i="4"/>
  <c r="T9" i="4"/>
  <c r="T13" i="4"/>
  <c r="K13" i="18"/>
  <c r="I14" i="18"/>
  <c r="AF8" i="3"/>
  <c r="AF15" i="3"/>
  <c r="AF12" i="3"/>
  <c r="AF5" i="3"/>
  <c r="AF9" i="3"/>
  <c r="AF6" i="3"/>
  <c r="AF10" i="3"/>
  <c r="AF13" i="3"/>
  <c r="L12" i="19"/>
  <c r="L42" i="19"/>
  <c r="L27" i="19"/>
  <c r="L32" i="19"/>
  <c r="L14" i="19"/>
  <c r="L24" i="19"/>
  <c r="L40" i="19"/>
  <c r="L41" i="19"/>
  <c r="L23" i="19"/>
  <c r="L31" i="19"/>
  <c r="L21" i="19"/>
  <c r="L38" i="19"/>
  <c r="L20" i="19"/>
  <c r="L36" i="19"/>
  <c r="L37" i="19"/>
  <c r="L19" i="19"/>
  <c r="L18" i="19"/>
  <c r="L34" i="19"/>
  <c r="L35" i="19"/>
  <c r="L25" i="19"/>
  <c r="L22" i="19"/>
  <c r="L17" i="19"/>
  <c r="L33" i="19"/>
  <c r="L30" i="19"/>
  <c r="L15" i="19"/>
  <c r="L39" i="19"/>
  <c r="L29" i="19"/>
  <c r="L28" i="19"/>
  <c r="L13" i="19"/>
  <c r="L26" i="19"/>
  <c r="L16" i="19"/>
  <c r="AF7" i="3"/>
  <c r="AF11" i="3"/>
  <c r="AF14" i="3"/>
  <c r="HF33" i="9"/>
  <c r="HF23" i="9"/>
  <c r="HF31" i="9"/>
  <c r="HF38" i="9"/>
  <c r="HF18" i="9"/>
  <c r="HF15" i="9"/>
  <c r="HF25" i="9"/>
  <c r="HF14" i="9"/>
  <c r="HF24" i="9"/>
  <c r="HF44" i="9"/>
  <c r="HF76" i="9" s="1"/>
  <c r="HG76" i="9" s="1"/>
  <c r="HF21" i="9"/>
  <c r="HF19" i="9"/>
  <c r="HF32" i="9"/>
  <c r="HF40" i="9"/>
  <c r="HF72" i="9" s="1"/>
  <c r="HG72" i="9" s="1"/>
  <c r="HF28" i="9"/>
  <c r="HF16" i="9"/>
  <c r="HF22" i="9"/>
  <c r="HF26" i="9"/>
  <c r="HF35" i="9"/>
  <c r="HF43" i="9"/>
  <c r="HF75" i="9" s="1"/>
  <c r="HG75" i="9" s="1"/>
  <c r="HF39" i="9"/>
  <c r="HF42" i="9"/>
  <c r="HF74" i="9" s="1"/>
  <c r="HG74" i="9" s="1"/>
  <c r="HF27" i="9"/>
  <c r="HF17" i="9"/>
  <c r="HF36" i="9"/>
  <c r="HF37" i="9"/>
  <c r="HF20" i="9"/>
  <c r="HF34" i="9"/>
  <c r="HF30" i="9"/>
  <c r="HF41" i="9"/>
  <c r="HF73" i="9" s="1"/>
  <c r="HG73" i="9" s="1"/>
  <c r="HF29" i="9"/>
  <c r="AF10" i="16"/>
  <c r="E8" i="20" s="1"/>
  <c r="F6" i="3"/>
  <c r="AF12" i="16"/>
  <c r="E10" i="20" s="1"/>
  <c r="F8" i="3"/>
  <c r="AF9" i="16"/>
  <c r="E7" i="20" s="1"/>
  <c r="F5" i="3"/>
  <c r="AF13" i="16"/>
  <c r="E11" i="20" s="1"/>
  <c r="F9" i="3"/>
  <c r="AF17" i="16"/>
  <c r="E15" i="20" s="1"/>
  <c r="F13" i="3"/>
  <c r="AF19" i="16"/>
  <c r="E17" i="20" s="1"/>
  <c r="F15" i="3"/>
  <c r="AF11" i="16"/>
  <c r="E9" i="20" s="1"/>
  <c r="F7" i="3"/>
  <c r="AF15" i="16"/>
  <c r="E13" i="20" s="1"/>
  <c r="F11" i="3"/>
  <c r="AF14" i="16"/>
  <c r="E12" i="20" s="1"/>
  <c r="F10" i="3"/>
  <c r="AF16" i="16"/>
  <c r="E14" i="20" s="1"/>
  <c r="F12" i="3"/>
  <c r="AF18" i="16"/>
  <c r="E16" i="20" s="1"/>
  <c r="F14" i="3"/>
  <c r="T9" i="10"/>
  <c r="S11" i="10"/>
  <c r="S13" i="10"/>
  <c r="S15" i="10"/>
  <c r="S17" i="10"/>
  <c r="S19" i="10"/>
  <c r="U8" i="4"/>
  <c r="S18" i="4"/>
  <c r="S10" i="10"/>
  <c r="S12" i="10"/>
  <c r="S14" i="10"/>
  <c r="S16" i="10"/>
  <c r="S18" i="10"/>
  <c r="S20" i="10"/>
  <c r="S17" i="4"/>
  <c r="S19" i="4"/>
  <c r="AN18" i="17" l="1"/>
  <c r="AO18" i="17" s="1"/>
  <c r="AJ18" i="17"/>
  <c r="AB18" i="17"/>
  <c r="AC18" i="17" s="1"/>
  <c r="AM18" i="17"/>
  <c r="AE18" i="17"/>
  <c r="AF18" i="17" s="1"/>
  <c r="AP18" i="17"/>
  <c r="AH18" i="17"/>
  <c r="AI18" i="17" s="1"/>
  <c r="AD18" i="17"/>
  <c r="AK18" i="17"/>
  <c r="AL18" i="17" s="1"/>
  <c r="AG18" i="17"/>
  <c r="AK19" i="17"/>
  <c r="AL19" i="17" s="1"/>
  <c r="AG19" i="17"/>
  <c r="AN19" i="17"/>
  <c r="AO19" i="17" s="1"/>
  <c r="AJ19" i="17"/>
  <c r="AB19" i="17"/>
  <c r="AC19" i="17" s="1"/>
  <c r="AM19" i="17"/>
  <c r="AE19" i="17"/>
  <c r="AF19" i="17" s="1"/>
  <c r="AP19" i="17"/>
  <c r="AH19" i="17"/>
  <c r="AI19" i="17" s="1"/>
  <c r="AD19" i="17"/>
  <c r="AM17" i="17"/>
  <c r="AE17" i="17"/>
  <c r="AF17" i="17" s="1"/>
  <c r="AP17" i="17"/>
  <c r="AH17" i="17"/>
  <c r="AI17" i="17" s="1"/>
  <c r="AD17" i="17"/>
  <c r="AK17" i="17"/>
  <c r="AL17" i="17" s="1"/>
  <c r="AG17" i="17"/>
  <c r="AN17" i="17"/>
  <c r="AO17" i="17" s="1"/>
  <c r="AJ17" i="17"/>
  <c r="AB17" i="17"/>
  <c r="AC17" i="17" s="1"/>
  <c r="V18" i="17"/>
  <c r="W18" i="17" s="1"/>
  <c r="N18" i="17"/>
  <c r="J18" i="17"/>
  <c r="F18" i="17"/>
  <c r="M18" i="17"/>
  <c r="I18" i="17"/>
  <c r="E18" i="17"/>
  <c r="P18" i="17"/>
  <c r="L18" i="17"/>
  <c r="H18" i="17"/>
  <c r="D18" i="17"/>
  <c r="O18" i="17"/>
  <c r="K18" i="17"/>
  <c r="G18" i="17"/>
  <c r="C18" i="17"/>
  <c r="O19" i="17"/>
  <c r="K19" i="17"/>
  <c r="G19" i="17"/>
  <c r="C19" i="17"/>
  <c r="V19" i="17"/>
  <c r="W19" i="17" s="1"/>
  <c r="N19" i="17"/>
  <c r="J19" i="17"/>
  <c r="F19" i="17"/>
  <c r="M19" i="17"/>
  <c r="I19" i="17"/>
  <c r="E19" i="17"/>
  <c r="P19" i="17"/>
  <c r="L19" i="17"/>
  <c r="H19" i="17"/>
  <c r="D19" i="17"/>
  <c r="M17" i="17"/>
  <c r="I17" i="17"/>
  <c r="E17" i="17"/>
  <c r="P17" i="17"/>
  <c r="L17" i="17"/>
  <c r="H17" i="17"/>
  <c r="D17" i="17"/>
  <c r="O17" i="17"/>
  <c r="K17" i="17"/>
  <c r="G17" i="17"/>
  <c r="C17" i="17"/>
  <c r="V17" i="17"/>
  <c r="W17" i="17" s="1"/>
  <c r="N17" i="17"/>
  <c r="J17" i="17"/>
  <c r="F17" i="17"/>
  <c r="CP18" i="17"/>
  <c r="CD18" i="17"/>
  <c r="BR18" i="17"/>
  <c r="BS18" i="17" s="1"/>
  <c r="BN18" i="17"/>
  <c r="CJ18" i="17"/>
  <c r="CM18" i="17"/>
  <c r="BO18" i="17"/>
  <c r="BU18" i="17"/>
  <c r="BV18" i="17" s="1"/>
  <c r="CG18" i="17"/>
  <c r="BY18" i="17"/>
  <c r="BI18" i="17"/>
  <c r="CM19" i="17"/>
  <c r="CP19" i="17"/>
  <c r="CD19" i="17"/>
  <c r="BR19" i="17"/>
  <c r="BS19" i="17" s="1"/>
  <c r="BN19" i="17"/>
  <c r="CJ19" i="17"/>
  <c r="BI19" i="17"/>
  <c r="BY19" i="17"/>
  <c r="BO19" i="17"/>
  <c r="BU19" i="17"/>
  <c r="BV19" i="17" s="1"/>
  <c r="CG19" i="17"/>
  <c r="CP17" i="17"/>
  <c r="CD17" i="17"/>
  <c r="BR17" i="17"/>
  <c r="BS17" i="17" s="1"/>
  <c r="BN17" i="17"/>
  <c r="CJ17" i="17"/>
  <c r="BU17" i="17"/>
  <c r="BV17" i="17" s="1"/>
  <c r="CG17" i="17"/>
  <c r="BY17" i="17"/>
  <c r="BI17" i="17"/>
  <c r="CM17" i="17"/>
  <c r="BO17" i="17"/>
  <c r="AH12" i="10"/>
  <c r="AG12" i="10"/>
  <c r="AT19" i="10"/>
  <c r="AH19" i="10"/>
  <c r="AG19" i="10"/>
  <c r="AT18" i="10"/>
  <c r="AG18" i="10"/>
  <c r="AH18" i="10"/>
  <c r="AH10" i="10"/>
  <c r="AG10" i="10"/>
  <c r="AH17" i="10"/>
  <c r="AG17" i="10"/>
  <c r="AH11" i="10"/>
  <c r="AG11" i="10"/>
  <c r="AH16" i="10"/>
  <c r="AG16" i="10"/>
  <c r="AT20" i="10"/>
  <c r="AH20" i="10"/>
  <c r="AG20" i="10"/>
  <c r="AH15" i="10"/>
  <c r="AG15" i="10"/>
  <c r="AH14" i="10"/>
  <c r="AG14" i="10"/>
  <c r="AH13" i="10"/>
  <c r="AG13" i="10"/>
  <c r="S9" i="4"/>
  <c r="S10" i="4"/>
  <c r="S12" i="4"/>
  <c r="S16" i="4"/>
  <c r="S14" i="4"/>
  <c r="S13" i="4"/>
  <c r="AM20" i="10"/>
  <c r="AM19" i="10"/>
  <c r="AM18" i="10"/>
  <c r="AE18" i="16"/>
  <c r="AE14" i="16"/>
  <c r="AE11" i="16"/>
  <c r="AE17" i="16"/>
  <c r="AE9" i="16"/>
  <c r="AE10" i="16"/>
  <c r="AE16" i="16"/>
  <c r="AE15" i="16"/>
  <c r="AE19" i="16"/>
  <c r="AE13" i="16"/>
  <c r="AE12" i="16"/>
  <c r="U8" i="19"/>
  <c r="R8" i="19"/>
  <c r="W8" i="19"/>
  <c r="V8" i="19"/>
  <c r="V12" i="10"/>
  <c r="U12" i="10"/>
  <c r="X12" i="10"/>
  <c r="W12" i="10"/>
  <c r="X11" i="10"/>
  <c r="W11" i="10"/>
  <c r="V11" i="10"/>
  <c r="U11" i="10"/>
  <c r="X10" i="10"/>
  <c r="V10" i="10"/>
  <c r="V17" i="10"/>
  <c r="U17" i="10"/>
  <c r="X17" i="10"/>
  <c r="W17" i="10"/>
  <c r="V16" i="10"/>
  <c r="U16" i="10"/>
  <c r="X16" i="10"/>
  <c r="W16" i="10"/>
  <c r="X15" i="10"/>
  <c r="W15" i="10"/>
  <c r="V15" i="10"/>
  <c r="U15" i="10"/>
  <c r="X19" i="10"/>
  <c r="W19" i="10"/>
  <c r="V19" i="10"/>
  <c r="U19" i="10"/>
  <c r="X18" i="10"/>
  <c r="W18" i="10"/>
  <c r="V18" i="10"/>
  <c r="U18" i="10"/>
  <c r="X14" i="10"/>
  <c r="W14" i="10"/>
  <c r="U14" i="10"/>
  <c r="V14" i="10"/>
  <c r="V13" i="10"/>
  <c r="U13" i="10"/>
  <c r="X13" i="10"/>
  <c r="W13" i="10"/>
  <c r="V20" i="10"/>
  <c r="U20" i="10"/>
  <c r="X20" i="10"/>
  <c r="W20" i="10"/>
  <c r="R16" i="10"/>
  <c r="AD16" i="10"/>
  <c r="B15" i="17" s="1"/>
  <c r="AF16" i="10"/>
  <c r="AE16" i="10"/>
  <c r="AC16" i="10"/>
  <c r="A15" i="17" s="1"/>
  <c r="R15" i="10"/>
  <c r="AE15" i="10"/>
  <c r="AC15" i="10"/>
  <c r="A14" i="17" s="1"/>
  <c r="AD15" i="10"/>
  <c r="B14" i="17" s="1"/>
  <c r="AF15" i="10"/>
  <c r="R12" i="10"/>
  <c r="AD12" i="10"/>
  <c r="B11" i="17" s="1"/>
  <c r="AF12" i="10"/>
  <c r="AE12" i="10"/>
  <c r="AC12" i="10"/>
  <c r="A11" i="17" s="1"/>
  <c r="R11" i="10"/>
  <c r="AE11" i="10"/>
  <c r="AC11" i="10"/>
  <c r="A10" i="17" s="1"/>
  <c r="AD11" i="10"/>
  <c r="B10" i="17" s="1"/>
  <c r="AF11" i="10"/>
  <c r="R14" i="10"/>
  <c r="AF14" i="10"/>
  <c r="AE14" i="10"/>
  <c r="AC14" i="10"/>
  <c r="A13" i="17" s="1"/>
  <c r="AD14" i="10"/>
  <c r="B13" i="17" s="1"/>
  <c r="R13" i="10"/>
  <c r="AF13" i="10"/>
  <c r="AE13" i="10"/>
  <c r="AC13" i="10"/>
  <c r="A12" i="17" s="1"/>
  <c r="AD13" i="10"/>
  <c r="B12" i="17" s="1"/>
  <c r="R20" i="10"/>
  <c r="AD20" i="10"/>
  <c r="B19" i="17" s="1"/>
  <c r="AF20" i="10"/>
  <c r="AE20" i="10"/>
  <c r="AC20" i="10"/>
  <c r="A19" i="17" s="1"/>
  <c r="R19" i="10"/>
  <c r="AE19" i="10"/>
  <c r="AC19" i="10"/>
  <c r="A18" i="17" s="1"/>
  <c r="AD19" i="10"/>
  <c r="B18" i="17" s="1"/>
  <c r="AF19" i="10"/>
  <c r="R18" i="10"/>
  <c r="AF18" i="10"/>
  <c r="AE18" i="10"/>
  <c r="AC18" i="10"/>
  <c r="A17" i="17" s="1"/>
  <c r="AD18" i="10"/>
  <c r="B17" i="17" s="1"/>
  <c r="R10" i="10"/>
  <c r="AF10" i="10"/>
  <c r="U10" i="10"/>
  <c r="AT10" i="10" s="1"/>
  <c r="Z10" i="10"/>
  <c r="AE10" i="10"/>
  <c r="AC10" i="10"/>
  <c r="A9" i="17" s="1"/>
  <c r="Y10" i="10"/>
  <c r="AD10" i="10"/>
  <c r="B9" i="17" s="1"/>
  <c r="W10" i="10"/>
  <c r="AB10" i="10"/>
  <c r="AA10" i="10"/>
  <c r="R17" i="10"/>
  <c r="AF17" i="10"/>
  <c r="AE17" i="10"/>
  <c r="AC17" i="10"/>
  <c r="A16" i="17" s="1"/>
  <c r="AD17" i="10"/>
  <c r="B16" i="17" s="1"/>
  <c r="K14" i="18"/>
  <c r="I15" i="18"/>
  <c r="J13" i="19"/>
  <c r="Q13" i="19" s="1"/>
  <c r="I13" i="19" s="1"/>
  <c r="W13" i="19" s="1"/>
  <c r="J15" i="19"/>
  <c r="Q15" i="19" s="1"/>
  <c r="H15" i="19" s="1"/>
  <c r="AD15" i="19" s="1"/>
  <c r="J22" i="19"/>
  <c r="Q22" i="19" s="1"/>
  <c r="H22" i="19" s="1"/>
  <c r="AD22" i="19" s="1"/>
  <c r="J18" i="19"/>
  <c r="Q18" i="19" s="1"/>
  <c r="I18" i="19" s="1"/>
  <c r="W18" i="19" s="1"/>
  <c r="J20" i="19"/>
  <c r="Q20" i="19" s="1"/>
  <c r="I20" i="19" s="1"/>
  <c r="W20" i="19" s="1"/>
  <c r="J23" i="19"/>
  <c r="Q23" i="19" s="1"/>
  <c r="I23" i="19" s="1"/>
  <c r="J14" i="19"/>
  <c r="Q14" i="19" s="1"/>
  <c r="I14" i="19" s="1"/>
  <c r="J12" i="19"/>
  <c r="Q12" i="19" s="1"/>
  <c r="H12" i="19" s="1"/>
  <c r="AD12" i="19" s="1"/>
  <c r="S8" i="19"/>
  <c r="J28" i="19"/>
  <c r="Q28" i="19" s="1"/>
  <c r="J30" i="19"/>
  <c r="Q30" i="19" s="1"/>
  <c r="I30" i="19" s="1"/>
  <c r="J25" i="19"/>
  <c r="Q25" i="19" s="1"/>
  <c r="I25" i="19" s="1"/>
  <c r="W25" i="19" s="1"/>
  <c r="J19" i="19"/>
  <c r="Q19" i="19" s="1"/>
  <c r="I19" i="19" s="1"/>
  <c r="J38" i="19"/>
  <c r="Q38" i="19" s="1"/>
  <c r="I38" i="19" s="1"/>
  <c r="X38" i="19" s="1"/>
  <c r="J41" i="19"/>
  <c r="Q41" i="19" s="1"/>
  <c r="I41" i="19" s="1"/>
  <c r="W41" i="19" s="1"/>
  <c r="J32" i="19"/>
  <c r="Q32" i="19" s="1"/>
  <c r="I32" i="19" s="1"/>
  <c r="W32" i="19" s="1"/>
  <c r="J16" i="19"/>
  <c r="Q16" i="19" s="1"/>
  <c r="I16" i="19" s="1"/>
  <c r="J29" i="19"/>
  <c r="Q29" i="19" s="1"/>
  <c r="I29" i="19" s="1"/>
  <c r="X29" i="19" s="1"/>
  <c r="J33" i="19"/>
  <c r="Q33" i="19" s="1"/>
  <c r="I33" i="19" s="1"/>
  <c r="X33" i="19" s="1"/>
  <c r="J35" i="19"/>
  <c r="Q35" i="19" s="1"/>
  <c r="I35" i="19" s="1"/>
  <c r="X35" i="19" s="1"/>
  <c r="J37" i="19"/>
  <c r="Q37" i="19" s="1"/>
  <c r="I37" i="19" s="1"/>
  <c r="J21" i="19"/>
  <c r="Q21" i="19" s="1"/>
  <c r="I21" i="19" s="1"/>
  <c r="X21" i="19" s="1"/>
  <c r="J40" i="19"/>
  <c r="Q40" i="19" s="1"/>
  <c r="I40" i="19" s="1"/>
  <c r="X40" i="19" s="1"/>
  <c r="J27" i="19"/>
  <c r="Q27" i="19" s="1"/>
  <c r="H27" i="19" s="1"/>
  <c r="AD27" i="19" s="1"/>
  <c r="J26" i="19"/>
  <c r="Q26" i="19" s="1"/>
  <c r="I26" i="19" s="1"/>
  <c r="X26" i="19" s="1"/>
  <c r="J39" i="19"/>
  <c r="Q39" i="19" s="1"/>
  <c r="I39" i="19" s="1"/>
  <c r="W39" i="19" s="1"/>
  <c r="J17" i="19"/>
  <c r="Q17" i="19" s="1"/>
  <c r="I17" i="19" s="1"/>
  <c r="X17" i="19" s="1"/>
  <c r="J34" i="19"/>
  <c r="Q34" i="19" s="1"/>
  <c r="H34" i="19" s="1"/>
  <c r="AD34" i="19" s="1"/>
  <c r="J36" i="19"/>
  <c r="Q36" i="19" s="1"/>
  <c r="J31" i="19"/>
  <c r="Q31" i="19" s="1"/>
  <c r="H31" i="19" s="1"/>
  <c r="AD31" i="19" s="1"/>
  <c r="J24" i="19"/>
  <c r="Q24" i="19" s="1"/>
  <c r="I24" i="19" s="1"/>
  <c r="X24" i="19" s="1"/>
  <c r="J42" i="19"/>
  <c r="Q42" i="19" s="1"/>
  <c r="H42" i="19" s="1"/>
  <c r="AD42" i="19" s="1"/>
  <c r="HE34" i="9"/>
  <c r="HG34" i="9"/>
  <c r="HF66" i="9" s="1"/>
  <c r="HG66" i="9" s="1"/>
  <c r="HG17" i="9"/>
  <c r="HF49" i="9" s="1"/>
  <c r="HG49" i="9" s="1"/>
  <c r="HE17" i="9"/>
  <c r="HG43" i="9"/>
  <c r="HE43" i="9"/>
  <c r="HH43" i="9"/>
  <c r="HJ75" i="9" s="1"/>
  <c r="HG16" i="9"/>
  <c r="HF48" i="9" s="1"/>
  <c r="HG48" i="9" s="1"/>
  <c r="HE16" i="9"/>
  <c r="HE19" i="9"/>
  <c r="HG19" i="9"/>
  <c r="HF51" i="9" s="1"/>
  <c r="HG51" i="9" s="1"/>
  <c r="HE14" i="9"/>
  <c r="HG14" i="9"/>
  <c r="HF46" i="9" s="1"/>
  <c r="HG46" i="9" s="1"/>
  <c r="HG38" i="9"/>
  <c r="HF70" i="9" s="1"/>
  <c r="HG70" i="9" s="1"/>
  <c r="HE38" i="9"/>
  <c r="HG29" i="9"/>
  <c r="HF61" i="9" s="1"/>
  <c r="HG61" i="9" s="1"/>
  <c r="HE29" i="9"/>
  <c r="HE20" i="9"/>
  <c r="HG20" i="9"/>
  <c r="HF52" i="9" s="1"/>
  <c r="HG52" i="9" s="1"/>
  <c r="HG27" i="9"/>
  <c r="HF59" i="9" s="1"/>
  <c r="HG59" i="9" s="1"/>
  <c r="HE27" i="9"/>
  <c r="HE35" i="9"/>
  <c r="HG35" i="9"/>
  <c r="HF67" i="9" s="1"/>
  <c r="HG67" i="9" s="1"/>
  <c r="HE28" i="9"/>
  <c r="HG28" i="9"/>
  <c r="HF60" i="9" s="1"/>
  <c r="HG60" i="9" s="1"/>
  <c r="HG21" i="9"/>
  <c r="HF53" i="9" s="1"/>
  <c r="HG53" i="9" s="1"/>
  <c r="HE21" i="9"/>
  <c r="HE25" i="9"/>
  <c r="HG25" i="9"/>
  <c r="HF57" i="9" s="1"/>
  <c r="HG57" i="9" s="1"/>
  <c r="HG31" i="9"/>
  <c r="HF63" i="9" s="1"/>
  <c r="HG63" i="9" s="1"/>
  <c r="HE31" i="9"/>
  <c r="HE41" i="9"/>
  <c r="HG41" i="9"/>
  <c r="HH41" i="9"/>
  <c r="HJ73" i="9" s="1"/>
  <c r="HG37" i="9"/>
  <c r="HF69" i="9" s="1"/>
  <c r="HG69" i="9" s="1"/>
  <c r="HE37" i="9"/>
  <c r="HG42" i="9"/>
  <c r="HE42" i="9"/>
  <c r="HH42" i="9"/>
  <c r="HJ74" i="9" s="1"/>
  <c r="HG26" i="9"/>
  <c r="HF58" i="9" s="1"/>
  <c r="HG58" i="9" s="1"/>
  <c r="HE26" i="9"/>
  <c r="HE40" i="9"/>
  <c r="HG40" i="9"/>
  <c r="HH40" i="9"/>
  <c r="HJ72" i="9" s="1"/>
  <c r="HE44" i="9"/>
  <c r="HG44" i="9"/>
  <c r="HH44" i="9"/>
  <c r="HJ76" i="9" s="1"/>
  <c r="HG15" i="9"/>
  <c r="HF47" i="9" s="1"/>
  <c r="HG47" i="9" s="1"/>
  <c r="HE15" i="9"/>
  <c r="HE23" i="9"/>
  <c r="HG23" i="9"/>
  <c r="HF55" i="9" s="1"/>
  <c r="HG55" i="9" s="1"/>
  <c r="HE30" i="9"/>
  <c r="HG30" i="9"/>
  <c r="HF62" i="9" s="1"/>
  <c r="HG62" i="9" s="1"/>
  <c r="HG36" i="9"/>
  <c r="HF68" i="9" s="1"/>
  <c r="HG68" i="9" s="1"/>
  <c r="HE36" i="9"/>
  <c r="HG39" i="9"/>
  <c r="HF71" i="9" s="1"/>
  <c r="HG71" i="9" s="1"/>
  <c r="HE39" i="9"/>
  <c r="HH39" i="9"/>
  <c r="HJ71" i="9" s="1"/>
  <c r="HG22" i="9"/>
  <c r="HF54" i="9" s="1"/>
  <c r="HG54" i="9" s="1"/>
  <c r="HE22" i="9"/>
  <c r="HG32" i="9"/>
  <c r="HF64" i="9" s="1"/>
  <c r="HG64" i="9" s="1"/>
  <c r="HE32" i="9"/>
  <c r="HE24" i="9"/>
  <c r="HG24" i="9"/>
  <c r="HF56" i="9" s="1"/>
  <c r="HG56" i="9" s="1"/>
  <c r="HE18" i="9"/>
  <c r="HG18" i="9"/>
  <c r="HF50" i="9" s="1"/>
  <c r="HG50" i="9" s="1"/>
  <c r="HE33" i="9"/>
  <c r="HG33" i="9"/>
  <c r="HF65" i="9" s="1"/>
  <c r="HG65" i="9" s="1"/>
  <c r="HH38" i="9" l="1"/>
  <c r="HJ70" i="9" s="1"/>
  <c r="HH37" i="9"/>
  <c r="HJ69" i="9" s="1"/>
  <c r="HH36" i="9"/>
  <c r="HJ68" i="9" s="1"/>
  <c r="AR18" i="17"/>
  <c r="AS18" i="17" s="1"/>
  <c r="AR19" i="17"/>
  <c r="AS19" i="17" s="1"/>
  <c r="AR17" i="17"/>
  <c r="AS17" i="17" s="1"/>
  <c r="S19" i="17"/>
  <c r="BC19" i="17" s="1"/>
  <c r="BD19" i="17" s="1"/>
  <c r="S18" i="17"/>
  <c r="BC18" i="17" s="1"/>
  <c r="BD18" i="17" s="1"/>
  <c r="S17" i="17"/>
  <c r="U17" i="17"/>
  <c r="U19" i="17"/>
  <c r="U18" i="17"/>
  <c r="HH35" i="9"/>
  <c r="HJ67" i="9" s="1"/>
  <c r="CE19" i="17"/>
  <c r="CF19" i="17" s="1"/>
  <c r="CH19" i="17"/>
  <c r="CI19" i="17" s="1"/>
  <c r="CN19" i="17"/>
  <c r="CO19" i="17" s="1"/>
  <c r="CB19" i="17"/>
  <c r="CC19" i="17" s="1"/>
  <c r="BL19" i="17"/>
  <c r="BM19" i="17" s="1"/>
  <c r="CK19" i="17"/>
  <c r="CL19" i="17" s="1"/>
  <c r="CH18" i="17"/>
  <c r="CI18" i="17" s="1"/>
  <c r="CN18" i="17"/>
  <c r="CO18" i="17" s="1"/>
  <c r="CB18" i="17"/>
  <c r="CC18" i="17" s="1"/>
  <c r="BL18" i="17"/>
  <c r="BM18" i="17" s="1"/>
  <c r="CE18" i="17"/>
  <c r="CF18" i="17" s="1"/>
  <c r="CK18" i="17"/>
  <c r="CL18" i="17" s="1"/>
  <c r="CE10" i="17"/>
  <c r="CF10" i="17" s="1"/>
  <c r="CH10" i="17"/>
  <c r="CI10" i="17" s="1"/>
  <c r="CK10" i="17"/>
  <c r="CL10" i="17" s="1"/>
  <c r="CN10" i="17"/>
  <c r="CO10" i="17" s="1"/>
  <c r="CB10" i="17"/>
  <c r="CC10" i="17" s="1"/>
  <c r="BL10" i="17"/>
  <c r="BM10" i="17" s="1"/>
  <c r="CE12" i="17"/>
  <c r="CF12" i="17" s="1"/>
  <c r="CH12" i="17"/>
  <c r="CI12" i="17" s="1"/>
  <c r="CK12" i="17"/>
  <c r="CL12" i="17" s="1"/>
  <c r="CN12" i="17"/>
  <c r="CO12" i="17" s="1"/>
  <c r="CB12" i="17"/>
  <c r="CC12" i="17" s="1"/>
  <c r="BL12" i="17"/>
  <c r="BM12" i="17" s="1"/>
  <c r="CH15" i="17"/>
  <c r="CI15" i="17" s="1"/>
  <c r="CN15" i="17"/>
  <c r="CO15" i="17" s="1"/>
  <c r="CB15" i="17"/>
  <c r="CC15" i="17" s="1"/>
  <c r="BL15" i="17"/>
  <c r="BM15" i="17" s="1"/>
  <c r="CE15" i="17"/>
  <c r="CF15" i="17" s="1"/>
  <c r="CK15" i="17"/>
  <c r="CL15" i="17" s="1"/>
  <c r="BB19" i="17"/>
  <c r="AV19" i="17"/>
  <c r="BE19" i="17"/>
  <c r="AY19" i="17"/>
  <c r="BB18" i="17"/>
  <c r="AV18" i="17"/>
  <c r="BE18" i="17"/>
  <c r="AY18" i="17"/>
  <c r="BX18" i="17"/>
  <c r="BP18" i="17"/>
  <c r="CH16" i="17"/>
  <c r="CI16" i="17" s="1"/>
  <c r="CN16" i="17"/>
  <c r="CO16" i="17" s="1"/>
  <c r="CB16" i="17"/>
  <c r="CC16" i="17" s="1"/>
  <c r="BL16" i="17"/>
  <c r="BM16" i="17" s="1"/>
  <c r="CE16" i="17"/>
  <c r="CF16" i="17" s="1"/>
  <c r="CK16" i="17"/>
  <c r="CL16" i="17" s="1"/>
  <c r="CH17" i="17"/>
  <c r="CI17" i="17" s="1"/>
  <c r="CN17" i="17"/>
  <c r="CO17" i="17" s="1"/>
  <c r="CB17" i="17"/>
  <c r="CC17" i="17" s="1"/>
  <c r="BL17" i="17"/>
  <c r="BM17" i="17" s="1"/>
  <c r="CK17" i="17"/>
  <c r="CL17" i="17" s="1"/>
  <c r="CE17" i="17"/>
  <c r="CF17" i="17" s="1"/>
  <c r="CE13" i="17"/>
  <c r="CF13" i="17" s="1"/>
  <c r="CH13" i="17"/>
  <c r="CI13" i="17" s="1"/>
  <c r="CK13" i="17"/>
  <c r="CL13" i="17" s="1"/>
  <c r="CN13" i="17"/>
  <c r="CO13" i="17" s="1"/>
  <c r="CB13" i="17"/>
  <c r="CC13" i="17" s="1"/>
  <c r="BL13" i="17"/>
  <c r="BM13" i="17" s="1"/>
  <c r="CE14" i="17"/>
  <c r="CF14" i="17" s="1"/>
  <c r="CH14" i="17"/>
  <c r="CI14" i="17" s="1"/>
  <c r="CK14" i="17"/>
  <c r="CL14" i="17" s="1"/>
  <c r="CN14" i="17"/>
  <c r="CO14" i="17" s="1"/>
  <c r="CB14" i="17"/>
  <c r="CC14" i="17" s="1"/>
  <c r="BL14" i="17"/>
  <c r="BM14" i="17" s="1"/>
  <c r="BB17" i="17"/>
  <c r="AV17" i="17"/>
  <c r="BE17" i="17"/>
  <c r="AY17" i="17"/>
  <c r="BX19" i="17"/>
  <c r="BP19" i="17"/>
  <c r="BT18" i="17"/>
  <c r="BQ18" i="17"/>
  <c r="BX17" i="17"/>
  <c r="BP17" i="17"/>
  <c r="BT17" i="17"/>
  <c r="BQ17" i="17"/>
  <c r="BT19" i="17"/>
  <c r="BQ19" i="17"/>
  <c r="HH34" i="9"/>
  <c r="HJ66" i="9" s="1"/>
  <c r="HH47" i="9"/>
  <c r="AO11" i="16"/>
  <c r="AN11" i="16"/>
  <c r="HH33" i="9"/>
  <c r="HJ65" i="9" s="1"/>
  <c r="AT14" i="10"/>
  <c r="AT13" i="10"/>
  <c r="AT16" i="10"/>
  <c r="AT17" i="10"/>
  <c r="AT11" i="10"/>
  <c r="AT15" i="10"/>
  <c r="AT12" i="10"/>
  <c r="HH32" i="9"/>
  <c r="HJ64" i="9" s="1"/>
  <c r="AB11" i="10"/>
  <c r="AS10" i="10"/>
  <c r="Z11" i="10"/>
  <c r="AQ10" i="10"/>
  <c r="AA11" i="10"/>
  <c r="AR10" i="10"/>
  <c r="Y11" i="10"/>
  <c r="AP10" i="10"/>
  <c r="HH31" i="9"/>
  <c r="HJ63" i="9" s="1"/>
  <c r="K15" i="18"/>
  <c r="I16" i="18"/>
  <c r="H14" i="19"/>
  <c r="I36" i="19"/>
  <c r="X36" i="19" s="1"/>
  <c r="H36" i="19"/>
  <c r="H28" i="19"/>
  <c r="AD28" i="19" s="1"/>
  <c r="I28" i="19"/>
  <c r="X28" i="19" s="1"/>
  <c r="I22" i="19"/>
  <c r="X22" i="19" s="1"/>
  <c r="I12" i="19"/>
  <c r="W12" i="19" s="1"/>
  <c r="AH12" i="19"/>
  <c r="AI12" i="19"/>
  <c r="AJ12" i="19"/>
  <c r="AJ22" i="19"/>
  <c r="AI22" i="19"/>
  <c r="AH22" i="19"/>
  <c r="AH34" i="19"/>
  <c r="AJ34" i="19"/>
  <c r="AI34" i="19"/>
  <c r="AI27" i="19"/>
  <c r="AH27" i="19"/>
  <c r="AJ27" i="19"/>
  <c r="H18" i="19"/>
  <c r="AD18" i="19" s="1"/>
  <c r="AI42" i="19"/>
  <c r="AH42" i="19"/>
  <c r="AJ42" i="19"/>
  <c r="AH15" i="19"/>
  <c r="AI15" i="19"/>
  <c r="AJ15" i="19"/>
  <c r="AH31" i="19"/>
  <c r="AJ31" i="19"/>
  <c r="AI31" i="19"/>
  <c r="I27" i="19"/>
  <c r="W27" i="19" s="1"/>
  <c r="H32" i="19"/>
  <c r="AD32" i="19" s="1"/>
  <c r="H25" i="19"/>
  <c r="AD25" i="19" s="1"/>
  <c r="I34" i="19"/>
  <c r="W34" i="19" s="1"/>
  <c r="H35" i="19"/>
  <c r="AD35" i="19" s="1"/>
  <c r="I31" i="19"/>
  <c r="X31" i="19" s="1"/>
  <c r="H26" i="19"/>
  <c r="AD26" i="19" s="1"/>
  <c r="H37" i="19"/>
  <c r="AD37" i="19" s="1"/>
  <c r="H16" i="19"/>
  <c r="AD16" i="19" s="1"/>
  <c r="H19" i="19"/>
  <c r="AD19" i="19" s="1"/>
  <c r="I15" i="19"/>
  <c r="X15" i="19" s="1"/>
  <c r="I42" i="19"/>
  <c r="X42" i="19" s="1"/>
  <c r="X30" i="19"/>
  <c r="W30" i="19"/>
  <c r="W23" i="19"/>
  <c r="X23" i="19"/>
  <c r="H21" i="19"/>
  <c r="AD21" i="19" s="1"/>
  <c r="X37" i="19"/>
  <c r="W37" i="19"/>
  <c r="H29" i="19"/>
  <c r="AD29" i="19" s="1"/>
  <c r="X16" i="19"/>
  <c r="W16" i="19"/>
  <c r="H38" i="19"/>
  <c r="AD38" i="19" s="1"/>
  <c r="X19" i="19"/>
  <c r="W19" i="19"/>
  <c r="H20" i="19"/>
  <c r="AD20" i="19" s="1"/>
  <c r="H13" i="19"/>
  <c r="AD13" i="19" s="1"/>
  <c r="H24" i="19"/>
  <c r="AD24" i="19" s="1"/>
  <c r="W36" i="19"/>
  <c r="H39" i="19"/>
  <c r="AD39" i="19" s="1"/>
  <c r="H17" i="19"/>
  <c r="AD17" i="19" s="1"/>
  <c r="H40" i="19"/>
  <c r="AD40" i="19" s="1"/>
  <c r="H33" i="19"/>
  <c r="AD33" i="19" s="1"/>
  <c r="H41" i="19"/>
  <c r="AD41" i="19" s="1"/>
  <c r="H30" i="19"/>
  <c r="AD30" i="19" s="1"/>
  <c r="W14" i="19"/>
  <c r="X14" i="19"/>
  <c r="H23" i="19"/>
  <c r="AD23" i="19" s="1"/>
  <c r="HH30" i="9"/>
  <c r="HJ62" i="9" s="1"/>
  <c r="HH28" i="9"/>
  <c r="HJ60" i="9" s="1"/>
  <c r="HH18" i="9"/>
  <c r="HJ50" i="9" s="1"/>
  <c r="HH29" i="9"/>
  <c r="HJ61" i="9" s="1"/>
  <c r="HH23" i="9"/>
  <c r="HJ55" i="9" s="1"/>
  <c r="HH16" i="9"/>
  <c r="HJ48" i="9" s="1"/>
  <c r="HH24" i="9"/>
  <c r="HJ56" i="9" s="1"/>
  <c r="HH22" i="9"/>
  <c r="HJ54" i="9" s="1"/>
  <c r="HH25" i="9"/>
  <c r="HJ57" i="9" s="1"/>
  <c r="HH20" i="9"/>
  <c r="HJ52" i="9" s="1"/>
  <c r="HH14" i="9"/>
  <c r="HJ46" i="9" s="1"/>
  <c r="HH15" i="9"/>
  <c r="HJ47" i="9" s="1"/>
  <c r="HH26" i="9"/>
  <c r="HJ58" i="9" s="1"/>
  <c r="HH21" i="9"/>
  <c r="HJ53" i="9" s="1"/>
  <c r="HH27" i="9"/>
  <c r="HJ59" i="9" s="1"/>
  <c r="HH19" i="9"/>
  <c r="HJ51" i="9" s="1"/>
  <c r="HH17" i="9"/>
  <c r="HJ49" i="9" s="1"/>
  <c r="D15" i="8"/>
  <c r="HF10" i="9" l="1"/>
  <c r="DQ6" i="18" s="1"/>
  <c r="H12" i="3"/>
  <c r="AZ19" i="17"/>
  <c r="BA19" i="17" s="1"/>
  <c r="AW19" i="17"/>
  <c r="AX19" i="17" s="1"/>
  <c r="AT18" i="17"/>
  <c r="AU18" i="17" s="1"/>
  <c r="AZ18" i="17"/>
  <c r="BA18" i="17" s="1"/>
  <c r="AT19" i="17"/>
  <c r="AU19" i="17" s="1"/>
  <c r="BF19" i="17"/>
  <c r="BG19" i="17" s="1"/>
  <c r="BF18" i="17"/>
  <c r="BG18" i="17" s="1"/>
  <c r="AW18" i="17"/>
  <c r="AX18" i="17" s="1"/>
  <c r="BC17" i="17"/>
  <c r="BD17" i="17" s="1"/>
  <c r="AZ17" i="17"/>
  <c r="BA17" i="17" s="1"/>
  <c r="AT17" i="17"/>
  <c r="AU17" i="17" s="1"/>
  <c r="BF17" i="17"/>
  <c r="BG17" i="17" s="1"/>
  <c r="AW17" i="17"/>
  <c r="AX17" i="17" s="1"/>
  <c r="BW18" i="17"/>
  <c r="BZ18" i="17" s="1"/>
  <c r="CA18" i="17" s="1"/>
  <c r="BW19" i="17"/>
  <c r="BZ19" i="17" s="1"/>
  <c r="CA19" i="17" s="1"/>
  <c r="BW17" i="17"/>
  <c r="BH19" i="17"/>
  <c r="BJ19" i="17" s="1"/>
  <c r="BK19" i="17" s="1"/>
  <c r="CE9" i="17"/>
  <c r="CF9" i="17" s="1"/>
  <c r="CH9" i="17"/>
  <c r="CI9" i="17" s="1"/>
  <c r="CK9" i="17"/>
  <c r="CL9" i="17" s="1"/>
  <c r="CN9" i="17"/>
  <c r="CO9" i="17" s="1"/>
  <c r="CB9" i="17"/>
  <c r="CC9" i="17" s="1"/>
  <c r="BL9" i="17"/>
  <c r="BM9" i="17" s="1"/>
  <c r="BZ17" i="17"/>
  <c r="CA17" i="17" s="1"/>
  <c r="BH17" i="17"/>
  <c r="BJ17" i="17" s="1"/>
  <c r="CE11" i="17"/>
  <c r="CF11" i="17" s="1"/>
  <c r="CH11" i="17"/>
  <c r="CI11" i="17" s="1"/>
  <c r="CK11" i="17"/>
  <c r="CL11" i="17" s="1"/>
  <c r="CN11" i="17"/>
  <c r="CO11" i="17" s="1"/>
  <c r="CB11" i="17"/>
  <c r="CC11" i="17" s="1"/>
  <c r="BL11" i="17"/>
  <c r="BM11" i="17" s="1"/>
  <c r="BH18" i="17"/>
  <c r="BJ18" i="17" s="1"/>
  <c r="K16" i="18"/>
  <c r="D10" i="10"/>
  <c r="D18" i="10"/>
  <c r="D13" i="10"/>
  <c r="D20" i="10"/>
  <c r="D12" i="10"/>
  <c r="D15" i="10"/>
  <c r="D11" i="10"/>
  <c r="D16" i="10"/>
  <c r="D9" i="10"/>
  <c r="D19" i="10"/>
  <c r="D17" i="10"/>
  <c r="D14" i="10"/>
  <c r="HN49" i="9"/>
  <c r="HM48" i="9"/>
  <c r="HM49" i="9"/>
  <c r="HN47" i="9"/>
  <c r="HN46" i="9"/>
  <c r="HM47" i="9"/>
  <c r="HM46" i="9"/>
  <c r="HN48" i="9"/>
  <c r="HN54" i="9"/>
  <c r="HO52" i="9"/>
  <c r="HN51" i="9"/>
  <c r="HO53" i="9"/>
  <c r="HN52" i="9"/>
  <c r="HO54" i="9"/>
  <c r="HN53" i="9"/>
  <c r="HO50" i="9"/>
  <c r="HO51" i="9"/>
  <c r="HN50" i="9"/>
  <c r="AP11" i="16"/>
  <c r="CU11" i="17" s="1"/>
  <c r="AQ11" i="17" s="1"/>
  <c r="AK10" i="10"/>
  <c r="AA12" i="10"/>
  <c r="AR11" i="10"/>
  <c r="AB12" i="10"/>
  <c r="AS11" i="10"/>
  <c r="Y12" i="10"/>
  <c r="AP11" i="10"/>
  <c r="Z12" i="10"/>
  <c r="AQ11" i="10"/>
  <c r="AI36" i="19"/>
  <c r="AD36" i="19"/>
  <c r="X12" i="19"/>
  <c r="Y12" i="19" s="1"/>
  <c r="AJ36" i="19"/>
  <c r="AJ14" i="19"/>
  <c r="AD14" i="19"/>
  <c r="AH36" i="19"/>
  <c r="AH14" i="19"/>
  <c r="AI14" i="19"/>
  <c r="AJ28" i="19"/>
  <c r="AI28" i="19"/>
  <c r="AH28" i="19"/>
  <c r="W28" i="19"/>
  <c r="AJ23" i="19"/>
  <c r="AI23" i="19"/>
  <c r="AH23" i="19"/>
  <c r="AI40" i="19"/>
  <c r="AJ40" i="19"/>
  <c r="AH40" i="19"/>
  <c r="Y36" i="19"/>
  <c r="AH38" i="19"/>
  <c r="AI38" i="19"/>
  <c r="AJ38" i="19"/>
  <c r="AJ26" i="19"/>
  <c r="AI26" i="19"/>
  <c r="AH26" i="19"/>
  <c r="AJ25" i="19"/>
  <c r="AI25" i="19"/>
  <c r="AH25" i="19"/>
  <c r="AJ30" i="19"/>
  <c r="AH30" i="19"/>
  <c r="AI30" i="19"/>
  <c r="AH17" i="19"/>
  <c r="AI17" i="19"/>
  <c r="AJ17" i="19"/>
  <c r="AJ24" i="19"/>
  <c r="AH24" i="19"/>
  <c r="AI24" i="19"/>
  <c r="AI19" i="19"/>
  <c r="AH19" i="19"/>
  <c r="AJ19" i="19"/>
  <c r="AH32" i="19"/>
  <c r="AJ32" i="19"/>
  <c r="AI32" i="19"/>
  <c r="AJ41" i="19"/>
  <c r="AI41" i="19"/>
  <c r="AH41" i="19"/>
  <c r="AI39" i="19"/>
  <c r="AJ39" i="19"/>
  <c r="AH39" i="19"/>
  <c r="AI13" i="19"/>
  <c r="AJ13" i="19"/>
  <c r="AH13" i="19"/>
  <c r="Y19" i="19"/>
  <c r="AI21" i="19"/>
  <c r="AH21" i="19"/>
  <c r="AJ21" i="19"/>
  <c r="AH16" i="19"/>
  <c r="AJ16" i="19"/>
  <c r="AI16" i="19"/>
  <c r="AH35" i="19"/>
  <c r="AJ35" i="19"/>
  <c r="AI35" i="19"/>
  <c r="AI33" i="19"/>
  <c r="AH33" i="19"/>
  <c r="AJ33" i="19"/>
  <c r="AI20" i="19"/>
  <c r="AH20" i="19"/>
  <c r="AJ20" i="19"/>
  <c r="AI29" i="19"/>
  <c r="AJ29" i="19"/>
  <c r="AH29" i="19"/>
  <c r="AI37" i="19"/>
  <c r="AJ37" i="19"/>
  <c r="AH37" i="19"/>
  <c r="AH18" i="19"/>
  <c r="AI18" i="19"/>
  <c r="AJ18" i="19"/>
  <c r="AK27" i="19"/>
  <c r="Y14" i="19"/>
  <c r="AK34" i="19"/>
  <c r="Y30" i="19"/>
  <c r="Y37" i="19"/>
  <c r="AK15" i="19"/>
  <c r="Y28" i="19"/>
  <c r="Y16" i="19"/>
  <c r="AK31" i="19"/>
  <c r="AK22" i="19"/>
  <c r="Y23" i="19"/>
  <c r="AK12" i="19"/>
  <c r="AK42" i="19"/>
  <c r="S7" i="8"/>
  <c r="W7" i="8"/>
  <c r="W8" i="8" s="1"/>
  <c r="W9" i="8" s="1"/>
  <c r="W10" i="8" s="1"/>
  <c r="W11" i="8" s="1"/>
  <c r="W12" i="8" s="1"/>
  <c r="W13" i="8" s="1"/>
  <c r="W14" i="8" s="1"/>
  <c r="W15" i="8" s="1"/>
  <c r="W16" i="8" s="1"/>
  <c r="W17" i="8" s="1"/>
  <c r="W18" i="8" s="1"/>
  <c r="AA8" i="8"/>
  <c r="AA9" i="8" s="1"/>
  <c r="AA10" i="8" s="1"/>
  <c r="AA11" i="8" s="1"/>
  <c r="AA12" i="8" s="1"/>
  <c r="AA13" i="8" s="1"/>
  <c r="AA14" i="8" s="1"/>
  <c r="AA15" i="8" s="1"/>
  <c r="AA16" i="8" s="1"/>
  <c r="AA17" i="8" s="1"/>
  <c r="AA18" i="8" s="1"/>
  <c r="Z8" i="8"/>
  <c r="Y8" i="8"/>
  <c r="X8" i="8"/>
  <c r="V8" i="8"/>
  <c r="V9" i="8" s="1"/>
  <c r="V10" i="8" s="1"/>
  <c r="V11" i="8" s="1"/>
  <c r="V12" i="8" s="1"/>
  <c r="V13" i="8" s="1"/>
  <c r="V14" i="8" s="1"/>
  <c r="V15" i="8" s="1"/>
  <c r="U8" i="8"/>
  <c r="U9" i="8" s="1"/>
  <c r="U10" i="8" s="1"/>
  <c r="U11" i="8" s="1"/>
  <c r="U12" i="8" s="1"/>
  <c r="U13" i="8" s="1"/>
  <c r="U14" i="8" s="1"/>
  <c r="U15" i="8" s="1"/>
  <c r="T8" i="8"/>
  <c r="T9" i="8" s="1"/>
  <c r="T10" i="8" s="1"/>
  <c r="T11" i="8" s="1"/>
  <c r="T12" i="8" s="1"/>
  <c r="T13" i="8" s="1"/>
  <c r="T14" i="8" s="1"/>
  <c r="T15" i="8" s="1"/>
  <c r="R8" i="8"/>
  <c r="R9" i="8" s="1"/>
  <c r="R10" i="8" s="1"/>
  <c r="R11" i="8" s="1"/>
  <c r="R12" i="8" s="1"/>
  <c r="R13" i="8" s="1"/>
  <c r="R14" i="8" s="1"/>
  <c r="R15" i="8" s="1"/>
  <c r="Q8" i="8"/>
  <c r="Q9" i="8" s="1"/>
  <c r="Q10" i="8" s="1"/>
  <c r="Q11" i="8" s="1"/>
  <c r="Q12" i="8" s="1"/>
  <c r="Q13" i="8" s="1"/>
  <c r="Q14" i="8" s="1"/>
  <c r="Q15" i="8" s="1"/>
  <c r="P8" i="8"/>
  <c r="P9" i="8" s="1"/>
  <c r="P10" i="8" s="1"/>
  <c r="P11" i="8" s="1"/>
  <c r="P12" i="8" s="1"/>
  <c r="P13" i="8" s="1"/>
  <c r="P14" i="8" s="1"/>
  <c r="P15" i="8" s="1"/>
  <c r="M8" i="8"/>
  <c r="L8" i="8"/>
  <c r="K8" i="8"/>
  <c r="K9" i="8" s="1"/>
  <c r="K10" i="8" s="1"/>
  <c r="K11" i="8" s="1"/>
  <c r="K12" i="8" s="1"/>
  <c r="K13" i="8" s="1"/>
  <c r="K14" i="8" s="1"/>
  <c r="K15" i="8" s="1"/>
  <c r="K16" i="8" s="1"/>
  <c r="K17" i="8" s="1"/>
  <c r="K18" i="8" s="1"/>
  <c r="J8" i="8"/>
  <c r="J9" i="8" s="1"/>
  <c r="J10" i="8" s="1"/>
  <c r="J11" i="8" s="1"/>
  <c r="J12" i="8" s="1"/>
  <c r="J13" i="8" s="1"/>
  <c r="J14" i="8" s="1"/>
  <c r="J15" i="8" s="1"/>
  <c r="J16" i="8" s="1"/>
  <c r="J17" i="8" s="1"/>
  <c r="J18" i="8" s="1"/>
  <c r="AQ9" i="16" l="1"/>
  <c r="R9" i="17"/>
  <c r="AO9" i="16"/>
  <c r="AA16" i="17"/>
  <c r="AG16" i="16"/>
  <c r="F14" i="20" s="1"/>
  <c r="T17" i="10"/>
  <c r="U16" i="4"/>
  <c r="Q9" i="17"/>
  <c r="AN9" i="16"/>
  <c r="CV19" i="17"/>
  <c r="BK17" i="17"/>
  <c r="CV17" i="17"/>
  <c r="BK18" i="17"/>
  <c r="CV18" i="17"/>
  <c r="CM11" i="17"/>
  <c r="BN11" i="17"/>
  <c r="CG11" i="17"/>
  <c r="CP11" i="17"/>
  <c r="BY11" i="17"/>
  <c r="CD11" i="17"/>
  <c r="CJ11" i="17"/>
  <c r="BI11" i="17"/>
  <c r="S8" i="8"/>
  <c r="S9" i="8" s="1"/>
  <c r="S10" i="8" s="1"/>
  <c r="S11" i="8" s="1"/>
  <c r="S12" i="8" s="1"/>
  <c r="S13" i="8" s="1"/>
  <c r="S14" i="8" s="1"/>
  <c r="S15" i="8" s="1"/>
  <c r="S16" i="8" s="1"/>
  <c r="S17" i="8" s="1"/>
  <c r="S18" i="8" s="1"/>
  <c r="M4" i="19"/>
  <c r="AK11" i="10"/>
  <c r="AQ10" i="16" s="1"/>
  <c r="Z13" i="10"/>
  <c r="AQ12" i="10"/>
  <c r="AB13" i="10"/>
  <c r="AS12" i="10"/>
  <c r="Y13" i="10"/>
  <c r="AP12" i="10"/>
  <c r="AA13" i="10"/>
  <c r="AR12" i="10"/>
  <c r="M9" i="8"/>
  <c r="L9" i="8"/>
  <c r="V16" i="8"/>
  <c r="V17" i="8" s="1"/>
  <c r="V18" i="8" s="1"/>
  <c r="U16" i="8"/>
  <c r="U17" i="8" s="1"/>
  <c r="U18" i="8" s="1"/>
  <c r="T16" i="8"/>
  <c r="T17" i="8" s="1"/>
  <c r="T18" i="8" s="1"/>
  <c r="P16" i="8"/>
  <c r="P17" i="8" s="1"/>
  <c r="P18" i="8" s="1"/>
  <c r="Q16" i="8"/>
  <c r="Q17" i="8" s="1"/>
  <c r="Q18" i="8" s="1"/>
  <c r="R16" i="8"/>
  <c r="R17" i="8" s="1"/>
  <c r="R18" i="8" s="1"/>
  <c r="Y9" i="8"/>
  <c r="X9" i="8"/>
  <c r="Z9" i="8"/>
  <c r="AK19" i="19"/>
  <c r="AK28" i="19"/>
  <c r="AK36" i="19"/>
  <c r="AK14" i="19"/>
  <c r="AK18" i="19"/>
  <c r="AK16" i="19"/>
  <c r="AK35" i="19"/>
  <c r="AD43" i="19"/>
  <c r="AK25" i="19"/>
  <c r="AK26" i="19"/>
  <c r="AI43" i="19"/>
  <c r="AG8" i="19" s="1"/>
  <c r="AK37" i="19"/>
  <c r="AK32" i="19"/>
  <c r="AK39" i="19"/>
  <c r="AJ43" i="19"/>
  <c r="AH8" i="19" s="1"/>
  <c r="AK38" i="19"/>
  <c r="AK41" i="19"/>
  <c r="AK20" i="19"/>
  <c r="AK21" i="19"/>
  <c r="AK13" i="19"/>
  <c r="AK24" i="19"/>
  <c r="AK40" i="19"/>
  <c r="AK33" i="19"/>
  <c r="AK30" i="19"/>
  <c r="AH43" i="19"/>
  <c r="AF8" i="19" s="1"/>
  <c r="AK29" i="19"/>
  <c r="AK23" i="19"/>
  <c r="AK17" i="19"/>
  <c r="D8" i="8"/>
  <c r="AO9" i="9"/>
  <c r="C15" i="9"/>
  <c r="D9" i="8"/>
  <c r="AP9" i="16" l="1"/>
  <c r="CU9" i="17" s="1"/>
  <c r="AM10" i="9"/>
  <c r="H5" i="3"/>
  <c r="AA9" i="17" s="1"/>
  <c r="BL10" i="9"/>
  <c r="H6" i="3"/>
  <c r="AA10" i="17" s="1"/>
  <c r="AO10" i="16"/>
  <c r="R10" i="17"/>
  <c r="AN10" i="16"/>
  <c r="Q10" i="17"/>
  <c r="AY11" i="17"/>
  <c r="BB11" i="17"/>
  <c r="BE11" i="17"/>
  <c r="AV11" i="17"/>
  <c r="BQ11" i="17"/>
  <c r="BT11" i="17"/>
  <c r="AK12" i="10"/>
  <c r="AQ11" i="16" s="1"/>
  <c r="AA14" i="10"/>
  <c r="AR13" i="10"/>
  <c r="AB14" i="10"/>
  <c r="AS13" i="10"/>
  <c r="Y14" i="10"/>
  <c r="AP13" i="10"/>
  <c r="Z14" i="10"/>
  <c r="AQ13" i="10"/>
  <c r="Y10" i="8"/>
  <c r="X10" i="8"/>
  <c r="Z10" i="8"/>
  <c r="AK43" i="19"/>
  <c r="CM9" i="9"/>
  <c r="C17" i="9"/>
  <c r="BN9" i="9"/>
  <c r="BS9" i="9" s="1"/>
  <c r="CF1" i="9" s="1"/>
  <c r="C16" i="9"/>
  <c r="W6" i="18"/>
  <c r="AT9" i="9"/>
  <c r="AG9" i="16"/>
  <c r="F7" i="20" s="1"/>
  <c r="U9" i="4"/>
  <c r="D10" i="8"/>
  <c r="T10" i="10" l="1"/>
  <c r="AP10" i="16"/>
  <c r="CU10" i="17" s="1"/>
  <c r="AQ10" i="17" s="1"/>
  <c r="AQ9" i="17"/>
  <c r="BN9" i="17"/>
  <c r="CD9" i="17"/>
  <c r="CJ9" i="17"/>
  <c r="CG9" i="17"/>
  <c r="CM9" i="17"/>
  <c r="CP9" i="17"/>
  <c r="BY9" i="17"/>
  <c r="BI9" i="17"/>
  <c r="CK10" i="9"/>
  <c r="AY6" i="18" s="1"/>
  <c r="H7" i="3"/>
  <c r="AA11" i="17" s="1"/>
  <c r="BH11" i="17"/>
  <c r="BJ11" i="17" s="1"/>
  <c r="BK11" i="17" s="1"/>
  <c r="BW11" i="17"/>
  <c r="BZ11" i="17" s="1"/>
  <c r="CA11" i="17" s="1"/>
  <c r="AK13" i="10"/>
  <c r="AQ12" i="16" s="1"/>
  <c r="Z15" i="10"/>
  <c r="AQ14" i="10"/>
  <c r="AB15" i="10"/>
  <c r="AS14" i="10"/>
  <c r="Y15" i="10"/>
  <c r="AP14" i="10"/>
  <c r="AA15" i="10"/>
  <c r="AR14" i="10"/>
  <c r="BF9" i="4"/>
  <c r="Z9" i="4"/>
  <c r="BC9" i="4"/>
  <c r="AX9" i="4"/>
  <c r="BE9" i="4"/>
  <c r="BA9" i="4"/>
  <c r="AE9" i="4"/>
  <c r="BD9" i="4"/>
  <c r="AF9" i="4"/>
  <c r="AZ9" i="4"/>
  <c r="AD9" i="4"/>
  <c r="AV9" i="4"/>
  <c r="BB9" i="4"/>
  <c r="AG9" i="4"/>
  <c r="AY9" i="4"/>
  <c r="AC9" i="4"/>
  <c r="AU9" i="4"/>
  <c r="AB9" i="4"/>
  <c r="AW9" i="4"/>
  <c r="AA9" i="4"/>
  <c r="M9" i="4"/>
  <c r="L9" i="4"/>
  <c r="J9" i="4"/>
  <c r="O9" i="4"/>
  <c r="AM9" i="4" s="1"/>
  <c r="AS9" i="16" s="1"/>
  <c r="P9" i="4"/>
  <c r="K9" i="4"/>
  <c r="N9" i="4"/>
  <c r="AL9" i="4" s="1"/>
  <c r="M11" i="8"/>
  <c r="L11" i="8"/>
  <c r="Y11" i="8"/>
  <c r="X11" i="8"/>
  <c r="B9" i="4"/>
  <c r="H9" i="4"/>
  <c r="BK9" i="4" s="1"/>
  <c r="I9" i="4"/>
  <c r="BL9" i="4" s="1"/>
  <c r="C9" i="4"/>
  <c r="F9" i="4"/>
  <c r="BI9" i="4" s="1"/>
  <c r="D9" i="4"/>
  <c r="BG9" i="4" s="1"/>
  <c r="G9" i="4"/>
  <c r="BJ9" i="4" s="1"/>
  <c r="E9" i="4"/>
  <c r="BH9" i="4" s="1"/>
  <c r="AQ9" i="9"/>
  <c r="AR9" i="9" s="1"/>
  <c r="BF1" i="9"/>
  <c r="AP1" i="9"/>
  <c r="AW1" i="9"/>
  <c r="BH1" i="9"/>
  <c r="AR1" i="9"/>
  <c r="BC1" i="9"/>
  <c r="AX1" i="9"/>
  <c r="BE1" i="9"/>
  <c r="AO1" i="9"/>
  <c r="AZ1" i="9"/>
  <c r="BK1" i="9"/>
  <c r="AU1" i="9"/>
  <c r="BJ1" i="9"/>
  <c r="BA1" i="9"/>
  <c r="AV1" i="9"/>
  <c r="AQ1" i="9"/>
  <c r="BB1" i="9"/>
  <c r="AS1" i="9"/>
  <c r="AN1" i="9"/>
  <c r="BI1" i="9"/>
  <c r="AY1" i="9"/>
  <c r="AT1" i="9"/>
  <c r="AM1" i="9"/>
  <c r="BG1" i="9"/>
  <c r="BD1" i="9"/>
  <c r="AG10" i="16"/>
  <c r="F8" i="20" s="1"/>
  <c r="T11" i="10"/>
  <c r="U10" i="4"/>
  <c r="DL9" i="9"/>
  <c r="C18" i="9"/>
  <c r="CR9" i="9"/>
  <c r="AK6" i="18"/>
  <c r="T12" i="10"/>
  <c r="D11" i="8"/>
  <c r="BN10" i="17" l="1"/>
  <c r="BY10" i="17"/>
  <c r="BQ10" i="17" s="1"/>
  <c r="BI10" i="17"/>
  <c r="BE10" i="17" s="1"/>
  <c r="CM10" i="17"/>
  <c r="CP10" i="17"/>
  <c r="CD10" i="17"/>
  <c r="CG10" i="17"/>
  <c r="CJ10" i="17"/>
  <c r="BT9" i="17"/>
  <c r="BQ9" i="17"/>
  <c r="BB9" i="17"/>
  <c r="AY9" i="17"/>
  <c r="BE9" i="17"/>
  <c r="AV9" i="17"/>
  <c r="AG11" i="16"/>
  <c r="F9" i="20" s="1"/>
  <c r="DJ10" i="9"/>
  <c r="H8" i="3"/>
  <c r="AA12" i="17" s="1"/>
  <c r="AN12" i="16"/>
  <c r="Q12" i="17"/>
  <c r="U11" i="4"/>
  <c r="AG11" i="4" s="1"/>
  <c r="AO12" i="16"/>
  <c r="R12" i="17"/>
  <c r="AK14" i="10"/>
  <c r="AQ13" i="16" s="1"/>
  <c r="BA11" i="4"/>
  <c r="AX11" i="4"/>
  <c r="L11" i="4"/>
  <c r="AR9" i="16"/>
  <c r="AT9" i="16" s="1"/>
  <c r="AN9" i="4"/>
  <c r="AA16" i="10"/>
  <c r="AR15" i="10"/>
  <c r="AB16" i="10"/>
  <c r="AS15" i="10"/>
  <c r="BF10" i="4"/>
  <c r="AB10" i="4"/>
  <c r="BC10" i="4"/>
  <c r="AX10" i="4"/>
  <c r="BE10" i="4"/>
  <c r="BA10" i="4"/>
  <c r="Z10" i="4"/>
  <c r="BD10" i="4"/>
  <c r="AA10" i="4"/>
  <c r="AZ10" i="4"/>
  <c r="AF10" i="4"/>
  <c r="AV10" i="4"/>
  <c r="BB10" i="4"/>
  <c r="AE10" i="4"/>
  <c r="AY10" i="4"/>
  <c r="AC10" i="4"/>
  <c r="AU10" i="4"/>
  <c r="AD10" i="4"/>
  <c r="AW10" i="4"/>
  <c r="AG10" i="4"/>
  <c r="M10" i="4"/>
  <c r="L10" i="4"/>
  <c r="K10" i="4"/>
  <c r="P10" i="4"/>
  <c r="J10" i="4"/>
  <c r="N10" i="4"/>
  <c r="AL10" i="4" s="1"/>
  <c r="O10" i="4"/>
  <c r="AM10" i="4" s="1"/>
  <c r="AS10" i="16" s="1"/>
  <c r="Y16" i="10"/>
  <c r="AP15" i="10"/>
  <c r="Z16" i="10"/>
  <c r="AQ15" i="10"/>
  <c r="M12" i="8"/>
  <c r="L12" i="8"/>
  <c r="Y12" i="8"/>
  <c r="X12" i="8"/>
  <c r="Z12" i="8"/>
  <c r="C11" i="4"/>
  <c r="C10" i="4"/>
  <c r="H10" i="4"/>
  <c r="BK10" i="4" s="1"/>
  <c r="G10" i="4"/>
  <c r="BJ10" i="4" s="1"/>
  <c r="F10" i="4"/>
  <c r="BI10" i="4" s="1"/>
  <c r="D10" i="4"/>
  <c r="BG10" i="4" s="1"/>
  <c r="B10" i="4"/>
  <c r="I10" i="4"/>
  <c r="BL10" i="4" s="1"/>
  <c r="E10" i="4"/>
  <c r="BH10" i="4" s="1"/>
  <c r="EK9" i="9"/>
  <c r="C19" i="9"/>
  <c r="BP9" i="9"/>
  <c r="BQ9" i="9" s="1"/>
  <c r="CA1" i="9"/>
  <c r="CH1" i="9"/>
  <c r="BR1" i="9"/>
  <c r="CC1" i="9"/>
  <c r="BM1" i="9"/>
  <c r="BX1" i="9"/>
  <c r="CI1" i="9"/>
  <c r="BS1" i="9"/>
  <c r="BZ1" i="9"/>
  <c r="BL1" i="9"/>
  <c r="BU1" i="9"/>
  <c r="BP1" i="9"/>
  <c r="CE1" i="9"/>
  <c r="BV1" i="9"/>
  <c r="BQ1" i="9"/>
  <c r="BW1" i="9"/>
  <c r="BN1" i="9"/>
  <c r="CJ1" i="9"/>
  <c r="BY1" i="9"/>
  <c r="BO1" i="9"/>
  <c r="CG1" i="9"/>
  <c r="CB1" i="9"/>
  <c r="CD1" i="9"/>
  <c r="BT1" i="9"/>
  <c r="BM6" i="18"/>
  <c r="DQ9" i="9"/>
  <c r="CO9" i="9"/>
  <c r="CP9" i="9" s="1"/>
  <c r="CV1" i="9"/>
  <c r="DC1" i="9"/>
  <c r="CM1" i="9"/>
  <c r="CX1" i="9"/>
  <c r="DI1" i="9"/>
  <c r="CS1" i="9"/>
  <c r="DD1" i="9"/>
  <c r="CN1" i="9"/>
  <c r="CU1" i="9"/>
  <c r="DF1" i="9"/>
  <c r="CP1" i="9"/>
  <c r="DA1" i="9"/>
  <c r="CZ1" i="9"/>
  <c r="CQ1" i="9"/>
  <c r="CL1" i="9"/>
  <c r="CR1" i="9"/>
  <c r="CK1" i="9"/>
  <c r="DE1" i="9"/>
  <c r="CY1" i="9"/>
  <c r="CO1" i="9"/>
  <c r="DG1" i="9"/>
  <c r="DB1" i="9"/>
  <c r="CW1" i="9"/>
  <c r="DH1" i="9"/>
  <c r="CT1" i="9"/>
  <c r="U12" i="4"/>
  <c r="T13" i="10"/>
  <c r="AM25" i="9"/>
  <c r="AM37" i="9"/>
  <c r="AM33" i="9"/>
  <c r="AM43" i="9"/>
  <c r="AM32" i="9"/>
  <c r="AM29" i="9"/>
  <c r="AM34" i="9"/>
  <c r="AM40" i="9"/>
  <c r="AM28" i="9"/>
  <c r="AM15" i="9"/>
  <c r="AM19" i="9"/>
  <c r="AM21" i="9"/>
  <c r="AM41" i="9"/>
  <c r="AM44" i="9"/>
  <c r="AM76" i="9" s="1"/>
  <c r="AN76" i="9" s="1"/>
  <c r="AM42" i="9"/>
  <c r="AM31" i="9"/>
  <c r="AM38" i="9"/>
  <c r="AM23" i="9"/>
  <c r="AM22" i="9"/>
  <c r="AM35" i="9"/>
  <c r="AM30" i="9"/>
  <c r="AM26" i="9"/>
  <c r="AM14" i="9"/>
  <c r="AM39" i="9"/>
  <c r="AM27" i="9"/>
  <c r="AM17" i="9"/>
  <c r="AM16" i="9"/>
  <c r="AM20" i="9"/>
  <c r="AM24" i="9"/>
  <c r="AM18" i="9"/>
  <c r="AM36" i="9"/>
  <c r="D12" i="8"/>
  <c r="H11" i="4" l="1"/>
  <c r="BK11" i="4" s="1"/>
  <c r="BB11" i="4"/>
  <c r="BE11" i="4"/>
  <c r="AW11" i="4"/>
  <c r="BT10" i="17"/>
  <c r="BW10" i="17" s="1"/>
  <c r="BZ10" i="17" s="1"/>
  <c r="CA10" i="17" s="1"/>
  <c r="BB10" i="17"/>
  <c r="AV10" i="17"/>
  <c r="AY10" i="17"/>
  <c r="BW9" i="17"/>
  <c r="BZ9" i="17" s="1"/>
  <c r="CA9" i="17" s="1"/>
  <c r="AP12" i="16"/>
  <c r="CU12" i="17" s="1"/>
  <c r="AQ12" i="17" s="1"/>
  <c r="BH9" i="17"/>
  <c r="BJ9" i="17" s="1"/>
  <c r="BK9" i="17" s="1"/>
  <c r="AG12" i="16"/>
  <c r="F10" i="20" s="1"/>
  <c r="E11" i="4"/>
  <c r="BH11" i="4" s="1"/>
  <c r="B11" i="4"/>
  <c r="AO13" i="16"/>
  <c r="R13" i="17"/>
  <c r="K11" i="4"/>
  <c r="AU11" i="4"/>
  <c r="AF11" i="4"/>
  <c r="AB11" i="4"/>
  <c r="AE11" i="4"/>
  <c r="M11" i="4"/>
  <c r="BF11" i="4"/>
  <c r="I11" i="4"/>
  <c r="BL11" i="4" s="1"/>
  <c r="G11" i="4"/>
  <c r="BJ11" i="4" s="1"/>
  <c r="P11" i="4"/>
  <c r="J11" i="4"/>
  <c r="AA11" i="4"/>
  <c r="AZ11" i="4"/>
  <c r="AV11" i="4"/>
  <c r="BC11" i="4"/>
  <c r="AY11" i="4"/>
  <c r="AN13" i="16"/>
  <c r="Q13" i="17"/>
  <c r="EI10" i="9"/>
  <c r="H9" i="3"/>
  <c r="AA13" i="17" s="1"/>
  <c r="D11" i="4"/>
  <c r="BG11" i="4" s="1"/>
  <c r="F11" i="4"/>
  <c r="BI11" i="4" s="1"/>
  <c r="O11" i="4"/>
  <c r="AM11" i="4" s="1"/>
  <c r="AS11" i="16" s="1"/>
  <c r="N11" i="4"/>
  <c r="AL11" i="4" s="1"/>
  <c r="AR11" i="16" s="1"/>
  <c r="BD11" i="4"/>
  <c r="AC11" i="4"/>
  <c r="AD11" i="4"/>
  <c r="Z11" i="4"/>
  <c r="BH10" i="17"/>
  <c r="BJ10" i="17" s="1"/>
  <c r="BK10" i="17" s="1"/>
  <c r="CM12" i="17"/>
  <c r="BN12" i="17"/>
  <c r="BI12" i="17"/>
  <c r="CP12" i="17"/>
  <c r="CG12" i="17"/>
  <c r="CJ12" i="17"/>
  <c r="CD12" i="17"/>
  <c r="BY12" i="17"/>
  <c r="BF12" i="4"/>
  <c r="AW12" i="4"/>
  <c r="AF12" i="4"/>
  <c r="AY12" i="4"/>
  <c r="M12" i="4"/>
  <c r="BA12" i="4"/>
  <c r="AA12" i="4"/>
  <c r="BC12" i="4"/>
  <c r="AD12" i="4"/>
  <c r="BE12" i="4"/>
  <c r="AE12" i="4"/>
  <c r="AV12" i="4"/>
  <c r="AC12" i="4"/>
  <c r="AX12" i="4"/>
  <c r="AB12" i="4"/>
  <c r="AZ12" i="4"/>
  <c r="AG12" i="4"/>
  <c r="BB12" i="4"/>
  <c r="BD12" i="4"/>
  <c r="Z12" i="4"/>
  <c r="AU12" i="4"/>
  <c r="L12" i="4"/>
  <c r="J12" i="4"/>
  <c r="P12" i="4"/>
  <c r="O12" i="4"/>
  <c r="AM12" i="4" s="1"/>
  <c r="AS12" i="16" s="1"/>
  <c r="Z17" i="10"/>
  <c r="AQ16" i="10"/>
  <c r="AR10" i="16"/>
  <c r="AT10" i="16" s="1"/>
  <c r="AN10" i="4"/>
  <c r="AA17" i="10"/>
  <c r="AR16" i="10"/>
  <c r="K12" i="4"/>
  <c r="AK15" i="10"/>
  <c r="AQ14" i="16" s="1"/>
  <c r="N12" i="4"/>
  <c r="AL12" i="4" s="1"/>
  <c r="AR12" i="16" s="1"/>
  <c r="Y17" i="10"/>
  <c r="AP16" i="10"/>
  <c r="AB17" i="10"/>
  <c r="AS16" i="10"/>
  <c r="M13" i="8"/>
  <c r="L13" i="8"/>
  <c r="Y13" i="8"/>
  <c r="X13" i="8"/>
  <c r="Z13" i="8"/>
  <c r="H12" i="4"/>
  <c r="BK12" i="4" s="1"/>
  <c r="F12" i="4"/>
  <c r="BI12" i="4" s="1"/>
  <c r="G12" i="4"/>
  <c r="BJ12" i="4" s="1"/>
  <c r="C12" i="4"/>
  <c r="D12" i="4"/>
  <c r="BG12" i="4" s="1"/>
  <c r="I12" i="4"/>
  <c r="BL12" i="4" s="1"/>
  <c r="B12" i="4"/>
  <c r="E12" i="4"/>
  <c r="BH12" i="4" s="1"/>
  <c r="AL20" i="9"/>
  <c r="AN20" i="9"/>
  <c r="AM52" i="9" s="1"/>
  <c r="AN52" i="9" s="1"/>
  <c r="AL39" i="9"/>
  <c r="AN39" i="9"/>
  <c r="AM71" i="9" s="1"/>
  <c r="AN71" i="9" s="1"/>
  <c r="AL35" i="9"/>
  <c r="AN35" i="9"/>
  <c r="AM67" i="9" s="1"/>
  <c r="AN67" i="9" s="1"/>
  <c r="AN31" i="9"/>
  <c r="AM63" i="9" s="1"/>
  <c r="AN63" i="9" s="1"/>
  <c r="AL31" i="9"/>
  <c r="AL21" i="9"/>
  <c r="AN21" i="9"/>
  <c r="AM53" i="9" s="1"/>
  <c r="AN53" i="9" s="1"/>
  <c r="AN40" i="9"/>
  <c r="AM72" i="9" s="1"/>
  <c r="AN72" i="9" s="1"/>
  <c r="AL40" i="9"/>
  <c r="AL43" i="9"/>
  <c r="AN43" i="9"/>
  <c r="AM75" i="9" s="1"/>
  <c r="AN75" i="9" s="1"/>
  <c r="CK35" i="9"/>
  <c r="CK36" i="9"/>
  <c r="CK14" i="9"/>
  <c r="CK37" i="9"/>
  <c r="CK42" i="9"/>
  <c r="CK32" i="9"/>
  <c r="CK30" i="9"/>
  <c r="CK33" i="9"/>
  <c r="CK29" i="9"/>
  <c r="CK39" i="9"/>
  <c r="CK31" i="9"/>
  <c r="CK28" i="9"/>
  <c r="CK38" i="9"/>
  <c r="CK23" i="9"/>
  <c r="CK21" i="9"/>
  <c r="CK16" i="9"/>
  <c r="CK25" i="9"/>
  <c r="CK24" i="9"/>
  <c r="CK44" i="9"/>
  <c r="CK43" i="9"/>
  <c r="CK15" i="9"/>
  <c r="CK20" i="9"/>
  <c r="CK17" i="9"/>
  <c r="CK18" i="9"/>
  <c r="CK27" i="9"/>
  <c r="CK40" i="9"/>
  <c r="CK26" i="9"/>
  <c r="CK41" i="9"/>
  <c r="CK34" i="9"/>
  <c r="CK22" i="9"/>
  <c r="CK19" i="9"/>
  <c r="BL22" i="9"/>
  <c r="BL26" i="9"/>
  <c r="BL41" i="9"/>
  <c r="BL39" i="9"/>
  <c r="BL24" i="9"/>
  <c r="BL40" i="9"/>
  <c r="BL44" i="9"/>
  <c r="BL33" i="9"/>
  <c r="BL38" i="9"/>
  <c r="BL30" i="9"/>
  <c r="BL29" i="9"/>
  <c r="BL36" i="9"/>
  <c r="BL17" i="9"/>
  <c r="BL20" i="9"/>
  <c r="BL35" i="9"/>
  <c r="BL32" i="9"/>
  <c r="BL15" i="9"/>
  <c r="BL16" i="9"/>
  <c r="BL28" i="9"/>
  <c r="BL34" i="9"/>
  <c r="BL25" i="9"/>
  <c r="BL37" i="9"/>
  <c r="BL19" i="9"/>
  <c r="BL27" i="9"/>
  <c r="BL42" i="9"/>
  <c r="BL21" i="9"/>
  <c r="BL31" i="9"/>
  <c r="BL14" i="9"/>
  <c r="BL23" i="9"/>
  <c r="BL43" i="9"/>
  <c r="BL18" i="9"/>
  <c r="FJ9" i="9"/>
  <c r="C20" i="9"/>
  <c r="AL36" i="9"/>
  <c r="AN36" i="9"/>
  <c r="AM68" i="9" s="1"/>
  <c r="AN68" i="9" s="1"/>
  <c r="AN16" i="9"/>
  <c r="AM48" i="9" s="1"/>
  <c r="AN48" i="9" s="1"/>
  <c r="AL16" i="9"/>
  <c r="AL14" i="9"/>
  <c r="AN14" i="9"/>
  <c r="AM46" i="9" s="1"/>
  <c r="AN46" i="9" s="1"/>
  <c r="AL22" i="9"/>
  <c r="AN22" i="9"/>
  <c r="AM54" i="9" s="1"/>
  <c r="AN54" i="9" s="1"/>
  <c r="AL42" i="9"/>
  <c r="AN42" i="9"/>
  <c r="AM74" i="9" s="1"/>
  <c r="AN74" i="9" s="1"/>
  <c r="AL19" i="9"/>
  <c r="AN19" i="9"/>
  <c r="AM51" i="9" s="1"/>
  <c r="AN51" i="9" s="1"/>
  <c r="AN34" i="9"/>
  <c r="AM66" i="9" s="1"/>
  <c r="AN66" i="9" s="1"/>
  <c r="AL34" i="9"/>
  <c r="AN33" i="9"/>
  <c r="AM65" i="9" s="1"/>
  <c r="AN65" i="9" s="1"/>
  <c r="AL33" i="9"/>
  <c r="DN9" i="9"/>
  <c r="DO9" i="9" s="1"/>
  <c r="EG1" i="9"/>
  <c r="DQ1" i="9"/>
  <c r="DX1" i="9"/>
  <c r="EE1" i="9"/>
  <c r="DO1" i="9"/>
  <c r="DZ1" i="9"/>
  <c r="DJ1" i="9"/>
  <c r="DY1" i="9"/>
  <c r="EF1" i="9"/>
  <c r="DP1" i="9"/>
  <c r="DW1" i="9"/>
  <c r="EH1" i="9"/>
  <c r="DR1" i="9"/>
  <c r="DU1" i="9"/>
  <c r="DL1" i="9"/>
  <c r="ED1" i="9"/>
  <c r="DM1" i="9"/>
  <c r="EA1" i="9"/>
  <c r="DV1" i="9"/>
  <c r="EC1" i="9"/>
  <c r="DK1" i="9"/>
  <c r="EB1" i="9"/>
  <c r="DS1" i="9"/>
  <c r="DN1" i="9"/>
  <c r="DT1" i="9"/>
  <c r="AN18" i="9"/>
  <c r="AM50" i="9" s="1"/>
  <c r="AN50" i="9" s="1"/>
  <c r="AL18" i="9"/>
  <c r="AL17" i="9"/>
  <c r="AN17" i="9"/>
  <c r="AM49" i="9" s="1"/>
  <c r="AN49" i="9" s="1"/>
  <c r="AN26" i="9"/>
  <c r="AM58" i="9" s="1"/>
  <c r="AN58" i="9" s="1"/>
  <c r="AL26" i="9"/>
  <c r="AN23" i="9"/>
  <c r="AM55" i="9" s="1"/>
  <c r="AN55" i="9" s="1"/>
  <c r="AL23" i="9"/>
  <c r="AN44" i="9"/>
  <c r="AO44" i="9"/>
  <c r="AQ76" i="9" s="1"/>
  <c r="AL44" i="9"/>
  <c r="AL15" i="9"/>
  <c r="AN15" i="9"/>
  <c r="AM47" i="9" s="1"/>
  <c r="AN47" i="9" s="1"/>
  <c r="AN29" i="9"/>
  <c r="AM61" i="9" s="1"/>
  <c r="AN61" i="9" s="1"/>
  <c r="AL29" i="9"/>
  <c r="AN37" i="9"/>
  <c r="AM69" i="9" s="1"/>
  <c r="AN69" i="9" s="1"/>
  <c r="AL37" i="9"/>
  <c r="EP9" i="9"/>
  <c r="AN24" i="9"/>
  <c r="AM56" i="9" s="1"/>
  <c r="AN56" i="9" s="1"/>
  <c r="AL24" i="9"/>
  <c r="AN27" i="9"/>
  <c r="AM59" i="9" s="1"/>
  <c r="AN59" i="9" s="1"/>
  <c r="AL27" i="9"/>
  <c r="AL30" i="9"/>
  <c r="AN30" i="9"/>
  <c r="AM62" i="9" s="1"/>
  <c r="AN62" i="9" s="1"/>
  <c r="AN38" i="9"/>
  <c r="AM70" i="9" s="1"/>
  <c r="AN70" i="9" s="1"/>
  <c r="AL38" i="9"/>
  <c r="AL41" i="9"/>
  <c r="AN41" i="9"/>
  <c r="AM73" i="9" s="1"/>
  <c r="AN73" i="9" s="1"/>
  <c r="AL28" i="9"/>
  <c r="AN28" i="9"/>
  <c r="AM60" i="9" s="1"/>
  <c r="AN60" i="9" s="1"/>
  <c r="AN32" i="9"/>
  <c r="AM64" i="9" s="1"/>
  <c r="AN64" i="9" s="1"/>
  <c r="AL32" i="9"/>
  <c r="AL25" i="9"/>
  <c r="AN25" i="9"/>
  <c r="AM57" i="9" s="1"/>
  <c r="AN57" i="9" s="1"/>
  <c r="AG13" i="16"/>
  <c r="F11" i="20" s="1"/>
  <c r="U13" i="4"/>
  <c r="T14" i="10"/>
  <c r="D13" i="8"/>
  <c r="AP13" i="16" l="1"/>
  <c r="CU13" i="17" s="1"/>
  <c r="AQ13" i="17" s="1"/>
  <c r="AT11" i="16"/>
  <c r="FH10" i="9"/>
  <c r="CO6" i="18" s="1"/>
  <c r="H10" i="3"/>
  <c r="AA14" i="17" s="1"/>
  <c r="AN11" i="4"/>
  <c r="AO14" i="16"/>
  <c r="R14" i="17"/>
  <c r="CA6" i="18"/>
  <c r="AN14" i="16"/>
  <c r="Q14" i="17"/>
  <c r="CM13" i="17"/>
  <c r="CG13" i="17"/>
  <c r="BE12" i="17"/>
  <c r="AV12" i="17"/>
  <c r="AY12" i="17"/>
  <c r="BB12" i="17"/>
  <c r="BQ12" i="17"/>
  <c r="BT12" i="17"/>
  <c r="AO47" i="9"/>
  <c r="V9" i="17" s="1"/>
  <c r="AT12" i="16"/>
  <c r="AK16" i="10"/>
  <c r="AQ15" i="16" s="1"/>
  <c r="AN12" i="4"/>
  <c r="BF13" i="4"/>
  <c r="BB13" i="4"/>
  <c r="BD13" i="4"/>
  <c r="AE13" i="4"/>
  <c r="BA13" i="4"/>
  <c r="AD13" i="4"/>
  <c r="AW13" i="4"/>
  <c r="Z13" i="4"/>
  <c r="AY13" i="4"/>
  <c r="BE13" i="4"/>
  <c r="AC13" i="4"/>
  <c r="AV13" i="4"/>
  <c r="AF13" i="4"/>
  <c r="BC13" i="4"/>
  <c r="AB13" i="4"/>
  <c r="AZ13" i="4"/>
  <c r="AA13" i="4"/>
  <c r="L13" i="4"/>
  <c r="AX13" i="4"/>
  <c r="AG13" i="4"/>
  <c r="AU13" i="4"/>
  <c r="M13" i="4"/>
  <c r="J13" i="4"/>
  <c r="Y18" i="10"/>
  <c r="AP17" i="10"/>
  <c r="P13" i="4"/>
  <c r="O13" i="4"/>
  <c r="AM13" i="4" s="1"/>
  <c r="AS13" i="16" s="1"/>
  <c r="K13" i="4"/>
  <c r="AB18" i="10"/>
  <c r="AS17" i="10"/>
  <c r="AA18" i="10"/>
  <c r="AR17" i="10"/>
  <c r="Z18" i="10"/>
  <c r="AQ17" i="10"/>
  <c r="N13" i="4"/>
  <c r="AL13" i="4" s="1"/>
  <c r="AR13" i="16" s="1"/>
  <c r="M14" i="8"/>
  <c r="L14" i="8"/>
  <c r="Y14" i="8"/>
  <c r="X14" i="8"/>
  <c r="Z14" i="8"/>
  <c r="B13" i="4"/>
  <c r="F13" i="4"/>
  <c r="BI13" i="4" s="1"/>
  <c r="D13" i="4"/>
  <c r="BG13" i="4" s="1"/>
  <c r="E13" i="4"/>
  <c r="BH13" i="4" s="1"/>
  <c r="I13" i="4"/>
  <c r="BL13" i="4" s="1"/>
  <c r="G13" i="4"/>
  <c r="BJ13" i="4" s="1"/>
  <c r="C13" i="4"/>
  <c r="H13" i="4"/>
  <c r="BK13" i="4" s="1"/>
  <c r="X39" i="19"/>
  <c r="Y39" i="19" s="1"/>
  <c r="W21" i="19"/>
  <c r="Y21" i="19" s="1"/>
  <c r="AO39" i="9"/>
  <c r="AQ71" i="9" s="1"/>
  <c r="AO43" i="9"/>
  <c r="AQ75" i="9" s="1"/>
  <c r="AO25" i="9"/>
  <c r="AQ57" i="9" s="1"/>
  <c r="AO28" i="9"/>
  <c r="AQ60" i="9" s="1"/>
  <c r="AO26" i="9"/>
  <c r="AQ58" i="9" s="1"/>
  <c r="AO33" i="9"/>
  <c r="AQ65" i="9" s="1"/>
  <c r="AO16" i="9"/>
  <c r="AQ48" i="9" s="1"/>
  <c r="AO23" i="9"/>
  <c r="AQ55" i="9" s="1"/>
  <c r="AO42" i="9"/>
  <c r="AQ74" i="9" s="1"/>
  <c r="AO36" i="9"/>
  <c r="AQ68" i="9" s="1"/>
  <c r="AO32" i="9"/>
  <c r="AQ64" i="9" s="1"/>
  <c r="AO30" i="9"/>
  <c r="AQ62" i="9" s="1"/>
  <c r="AO19" i="9"/>
  <c r="AQ51" i="9" s="1"/>
  <c r="AO22" i="9"/>
  <c r="AQ54" i="9" s="1"/>
  <c r="AO31" i="9"/>
  <c r="AQ63" i="9" s="1"/>
  <c r="AO38" i="9"/>
  <c r="AQ70" i="9" s="1"/>
  <c r="AO17" i="9"/>
  <c r="AQ49" i="9" s="1"/>
  <c r="AO35" i="9"/>
  <c r="AQ67" i="9" s="1"/>
  <c r="AO20" i="9"/>
  <c r="AQ52" i="9" s="1"/>
  <c r="AO41" i="9"/>
  <c r="AQ73" i="9" s="1"/>
  <c r="AO14" i="9"/>
  <c r="AQ46" i="9" s="1"/>
  <c r="AO24" i="9"/>
  <c r="AQ56" i="9" s="1"/>
  <c r="AO15" i="9"/>
  <c r="AQ47" i="9" s="1"/>
  <c r="AO18" i="9"/>
  <c r="AQ50" i="9" s="1"/>
  <c r="AO21" i="9"/>
  <c r="AQ53" i="9" s="1"/>
  <c r="AO27" i="9"/>
  <c r="AQ59" i="9" s="1"/>
  <c r="AO29" i="9"/>
  <c r="AQ61" i="9" s="1"/>
  <c r="AO34" i="9"/>
  <c r="AQ66" i="9" s="1"/>
  <c r="AO40" i="9"/>
  <c r="AQ72" i="9" s="1"/>
  <c r="EM9" i="9"/>
  <c r="EN9" i="9" s="1"/>
  <c r="FB1" i="9"/>
  <c r="FF1" i="9"/>
  <c r="EL1" i="9"/>
  <c r="ES1" i="9"/>
  <c r="EZ1" i="9"/>
  <c r="EJ1" i="9"/>
  <c r="EU1" i="9"/>
  <c r="ET1" i="9"/>
  <c r="FA1" i="9"/>
  <c r="EK1" i="9"/>
  <c r="ER1" i="9"/>
  <c r="FC1" i="9"/>
  <c r="EM1" i="9"/>
  <c r="EP1" i="9"/>
  <c r="FD1" i="9"/>
  <c r="EY1" i="9"/>
  <c r="FE1" i="9"/>
  <c r="EV1" i="9"/>
  <c r="EQ1" i="9"/>
  <c r="EO1" i="9"/>
  <c r="EW1" i="9"/>
  <c r="EN1" i="9"/>
  <c r="EI1" i="9"/>
  <c r="EX1" i="9"/>
  <c r="FG1" i="9"/>
  <c r="AG14" i="16"/>
  <c r="F12" i="20" s="1"/>
  <c r="BK14" i="9"/>
  <c r="BM14" i="9"/>
  <c r="BL46" i="9" s="1"/>
  <c r="BM46" i="9" s="1"/>
  <c r="BK27" i="9"/>
  <c r="BM27" i="9"/>
  <c r="BL59" i="9" s="1"/>
  <c r="BM59" i="9" s="1"/>
  <c r="BK34" i="9"/>
  <c r="BM34" i="9"/>
  <c r="BL66" i="9" s="1"/>
  <c r="BM66" i="9" s="1"/>
  <c r="BK32" i="9"/>
  <c r="BM32" i="9"/>
  <c r="BL64" i="9" s="1"/>
  <c r="BM64" i="9" s="1"/>
  <c r="BM36" i="9"/>
  <c r="BL68" i="9" s="1"/>
  <c r="BM68" i="9" s="1"/>
  <c r="BK36" i="9"/>
  <c r="BK33" i="9"/>
  <c r="BM33" i="9"/>
  <c r="BL65" i="9" s="1"/>
  <c r="BM65" i="9" s="1"/>
  <c r="BK39" i="9"/>
  <c r="BM39" i="9"/>
  <c r="BL71" i="9" s="1"/>
  <c r="BM71" i="9" s="1"/>
  <c r="CL19" i="9"/>
  <c r="CK51" i="9" s="1"/>
  <c r="CL51" i="9" s="1"/>
  <c r="CJ19" i="9"/>
  <c r="CJ26" i="9"/>
  <c r="CL26" i="9"/>
  <c r="CK58" i="9" s="1"/>
  <c r="CL58" i="9" s="1"/>
  <c r="CL17" i="9"/>
  <c r="CK49" i="9" s="1"/>
  <c r="CL49" i="9" s="1"/>
  <c r="CJ17" i="9"/>
  <c r="CJ44" i="9"/>
  <c r="CL44" i="9"/>
  <c r="CK76" i="9" s="1"/>
  <c r="CL76" i="9" s="1"/>
  <c r="CJ21" i="9"/>
  <c r="CL21" i="9"/>
  <c r="CK53" i="9" s="1"/>
  <c r="CL53" i="9" s="1"/>
  <c r="CJ31" i="9"/>
  <c r="CL31" i="9"/>
  <c r="CK63" i="9" s="1"/>
  <c r="CL63" i="9" s="1"/>
  <c r="CJ30" i="9"/>
  <c r="CL30" i="9"/>
  <c r="CK62" i="9" s="1"/>
  <c r="CL62" i="9" s="1"/>
  <c r="CJ14" i="9"/>
  <c r="CL14" i="9"/>
  <c r="CK46" i="9" s="1"/>
  <c r="CL46" i="9" s="1"/>
  <c r="DJ36" i="9"/>
  <c r="DJ15" i="9"/>
  <c r="DJ32" i="9"/>
  <c r="DJ24" i="9"/>
  <c r="DJ35" i="9"/>
  <c r="DJ31" i="9"/>
  <c r="DJ42" i="9"/>
  <c r="DJ38" i="9"/>
  <c r="DJ44" i="9"/>
  <c r="DJ76" i="9" s="1"/>
  <c r="DK76" i="9" s="1"/>
  <c r="DJ25" i="9"/>
  <c r="DJ18" i="9"/>
  <c r="DJ19" i="9"/>
  <c r="DJ37" i="9"/>
  <c r="DJ29" i="9"/>
  <c r="DJ26" i="9"/>
  <c r="DJ17" i="9"/>
  <c r="DJ34" i="9"/>
  <c r="DJ16" i="9"/>
  <c r="DJ33" i="9"/>
  <c r="DJ40" i="9"/>
  <c r="DJ41" i="9"/>
  <c r="DJ20" i="9"/>
  <c r="DJ30" i="9"/>
  <c r="DJ22" i="9"/>
  <c r="DJ14" i="9"/>
  <c r="DJ27" i="9"/>
  <c r="DJ39" i="9"/>
  <c r="DJ28" i="9"/>
  <c r="DJ43" i="9"/>
  <c r="DJ21" i="9"/>
  <c r="DJ23" i="9"/>
  <c r="BK18" i="9"/>
  <c r="BM18" i="9"/>
  <c r="BL50" i="9" s="1"/>
  <c r="BM50" i="9" s="1"/>
  <c r="BK31" i="9"/>
  <c r="BM31" i="9"/>
  <c r="BL63" i="9" s="1"/>
  <c r="BM63" i="9" s="1"/>
  <c r="BM19" i="9"/>
  <c r="BL51" i="9" s="1"/>
  <c r="BM51" i="9" s="1"/>
  <c r="BK19" i="9"/>
  <c r="BK28" i="9"/>
  <c r="BM28" i="9"/>
  <c r="BL60" i="9" s="1"/>
  <c r="BM60" i="9" s="1"/>
  <c r="BM35" i="9"/>
  <c r="BL67" i="9" s="1"/>
  <c r="BM67" i="9" s="1"/>
  <c r="BK35" i="9"/>
  <c r="BK29" i="9"/>
  <c r="BM29" i="9"/>
  <c r="BL61" i="9" s="1"/>
  <c r="BM61" i="9" s="1"/>
  <c r="BK44" i="9"/>
  <c r="BM44" i="9"/>
  <c r="BL76" i="9" s="1"/>
  <c r="BM76" i="9" s="1"/>
  <c r="BK41" i="9"/>
  <c r="BM41" i="9"/>
  <c r="BL73" i="9" s="1"/>
  <c r="BM73" i="9" s="1"/>
  <c r="CL22" i="9"/>
  <c r="CK54" i="9" s="1"/>
  <c r="CL54" i="9" s="1"/>
  <c r="CJ22" i="9"/>
  <c r="CJ40" i="9"/>
  <c r="CL40" i="9"/>
  <c r="CK72" i="9" s="1"/>
  <c r="CL72" i="9" s="1"/>
  <c r="CJ20" i="9"/>
  <c r="CL20" i="9"/>
  <c r="CK52" i="9" s="1"/>
  <c r="CL52" i="9" s="1"/>
  <c r="CJ24" i="9"/>
  <c r="CL24" i="9"/>
  <c r="CK56" i="9" s="1"/>
  <c r="CL56" i="9" s="1"/>
  <c r="CL23" i="9"/>
  <c r="CK55" i="9" s="1"/>
  <c r="CL55" i="9" s="1"/>
  <c r="CJ23" i="9"/>
  <c r="CJ39" i="9"/>
  <c r="CL39" i="9"/>
  <c r="CK71" i="9" s="1"/>
  <c r="CL71" i="9" s="1"/>
  <c r="CJ32" i="9"/>
  <c r="CL32" i="9"/>
  <c r="CK64" i="9" s="1"/>
  <c r="CL64" i="9" s="1"/>
  <c r="CJ36" i="9"/>
  <c r="CL36" i="9"/>
  <c r="CK68" i="9" s="1"/>
  <c r="CL68" i="9" s="1"/>
  <c r="GI9" i="9"/>
  <c r="C21" i="9"/>
  <c r="AO37" i="9"/>
  <c r="AQ69" i="9" s="1"/>
  <c r="BK43" i="9"/>
  <c r="BM43" i="9"/>
  <c r="BL75" i="9" s="1"/>
  <c r="BM75" i="9" s="1"/>
  <c r="BK21" i="9"/>
  <c r="BM21" i="9"/>
  <c r="BL53" i="9" s="1"/>
  <c r="BM53" i="9" s="1"/>
  <c r="BK37" i="9"/>
  <c r="BM37" i="9"/>
  <c r="BL69" i="9" s="1"/>
  <c r="BM69" i="9" s="1"/>
  <c r="BK16" i="9"/>
  <c r="BM16" i="9"/>
  <c r="BL48" i="9" s="1"/>
  <c r="BM48" i="9" s="1"/>
  <c r="BK20" i="9"/>
  <c r="BM20" i="9"/>
  <c r="BL52" i="9" s="1"/>
  <c r="BM52" i="9" s="1"/>
  <c r="BK30" i="9"/>
  <c r="BM30" i="9"/>
  <c r="BL62" i="9" s="1"/>
  <c r="BM62" i="9" s="1"/>
  <c r="BK40" i="9"/>
  <c r="BM40" i="9"/>
  <c r="BL72" i="9" s="1"/>
  <c r="BM72" i="9" s="1"/>
  <c r="BK26" i="9"/>
  <c r="BM26" i="9"/>
  <c r="BL58" i="9" s="1"/>
  <c r="BM58" i="9" s="1"/>
  <c r="CJ34" i="9"/>
  <c r="CL34" i="9"/>
  <c r="CK66" i="9" s="1"/>
  <c r="CL66" i="9" s="1"/>
  <c r="CL27" i="9"/>
  <c r="CK59" i="9" s="1"/>
  <c r="CL59" i="9" s="1"/>
  <c r="CJ27" i="9"/>
  <c r="CJ15" i="9"/>
  <c r="CL15" i="9"/>
  <c r="CK47" i="9" s="1"/>
  <c r="CL47" i="9" s="1"/>
  <c r="CJ25" i="9"/>
  <c r="CL25" i="9"/>
  <c r="CK57" i="9" s="1"/>
  <c r="CL57" i="9" s="1"/>
  <c r="CJ38" i="9"/>
  <c r="CL38" i="9"/>
  <c r="CK70" i="9" s="1"/>
  <c r="CL70" i="9" s="1"/>
  <c r="CJ29" i="9"/>
  <c r="CL29" i="9"/>
  <c r="CK61" i="9" s="1"/>
  <c r="CL61" i="9" s="1"/>
  <c r="CJ42" i="9"/>
  <c r="CL42" i="9"/>
  <c r="CK74" i="9" s="1"/>
  <c r="CL74" i="9" s="1"/>
  <c r="CJ35" i="9"/>
  <c r="CL35" i="9"/>
  <c r="CK67" i="9" s="1"/>
  <c r="CL67" i="9" s="1"/>
  <c r="FO9" i="9"/>
  <c r="BK23" i="9"/>
  <c r="BM23" i="9"/>
  <c r="BL55" i="9" s="1"/>
  <c r="BM55" i="9" s="1"/>
  <c r="BK42" i="9"/>
  <c r="BM42" i="9"/>
  <c r="BL74" i="9" s="1"/>
  <c r="BM74" i="9" s="1"/>
  <c r="BM25" i="9"/>
  <c r="BL57" i="9" s="1"/>
  <c r="BM57" i="9" s="1"/>
  <c r="BK25" i="9"/>
  <c r="BK15" i="9"/>
  <c r="BM15" i="9"/>
  <c r="BL47" i="9" s="1"/>
  <c r="BM47" i="9" s="1"/>
  <c r="BK17" i="9"/>
  <c r="BM17" i="9"/>
  <c r="BL49" i="9" s="1"/>
  <c r="BM49" i="9" s="1"/>
  <c r="BK38" i="9"/>
  <c r="BM38" i="9"/>
  <c r="BL70" i="9" s="1"/>
  <c r="BM70" i="9" s="1"/>
  <c r="BK24" i="9"/>
  <c r="BM24" i="9"/>
  <c r="BL56" i="9" s="1"/>
  <c r="BM56" i="9" s="1"/>
  <c r="BK22" i="9"/>
  <c r="BM22" i="9"/>
  <c r="BL54" i="9" s="1"/>
  <c r="BM54" i="9" s="1"/>
  <c r="CJ41" i="9"/>
  <c r="CL41" i="9"/>
  <c r="CK73" i="9" s="1"/>
  <c r="CL73" i="9" s="1"/>
  <c r="CJ18" i="9"/>
  <c r="CL18" i="9"/>
  <c r="CK50" i="9" s="1"/>
  <c r="CL50" i="9" s="1"/>
  <c r="CJ43" i="9"/>
  <c r="CL43" i="9"/>
  <c r="CK75" i="9" s="1"/>
  <c r="CL75" i="9" s="1"/>
  <c r="CJ16" i="9"/>
  <c r="CL16" i="9"/>
  <c r="CK48" i="9" s="1"/>
  <c r="CL48" i="9" s="1"/>
  <c r="CJ28" i="9"/>
  <c r="CL28" i="9"/>
  <c r="CK60" i="9" s="1"/>
  <c r="CL60" i="9" s="1"/>
  <c r="CJ33" i="9"/>
  <c r="CL33" i="9"/>
  <c r="CK65" i="9" s="1"/>
  <c r="CL65" i="9" s="1"/>
  <c r="CJ37" i="9"/>
  <c r="CL37" i="9"/>
  <c r="CK69" i="9" s="1"/>
  <c r="CL69" i="9" s="1"/>
  <c r="D14" i="8"/>
  <c r="F16" i="4" s="1"/>
  <c r="BI16" i="4" s="1"/>
  <c r="BN13" i="17" l="1"/>
  <c r="H16" i="4"/>
  <c r="BK16" i="4" s="1"/>
  <c r="CJ13" i="17"/>
  <c r="CD13" i="17"/>
  <c r="BY13" i="17"/>
  <c r="BT13" i="17" s="1"/>
  <c r="BI13" i="17"/>
  <c r="AY13" i="17" s="1"/>
  <c r="CP13" i="17"/>
  <c r="AP14" i="16"/>
  <c r="CU14" i="17" s="1"/>
  <c r="AQ14" i="17" s="1"/>
  <c r="AN15" i="16"/>
  <c r="Q15" i="17"/>
  <c r="U14" i="4"/>
  <c r="J14" i="4" s="1"/>
  <c r="AO15" i="16"/>
  <c r="R15" i="17"/>
  <c r="GG10" i="9"/>
  <c r="H11" i="3"/>
  <c r="AA15" i="17" s="1"/>
  <c r="T15" i="10"/>
  <c r="M16" i="4"/>
  <c r="W9" i="17"/>
  <c r="AP9" i="17"/>
  <c r="AG9" i="17"/>
  <c r="AH9" i="17"/>
  <c r="AI9" i="17" s="1"/>
  <c r="AN9" i="17"/>
  <c r="AO9" i="17" s="1"/>
  <c r="AM9" i="17"/>
  <c r="AD9" i="17"/>
  <c r="AJ9" i="17"/>
  <c r="AE9" i="17"/>
  <c r="AF9" i="17" s="1"/>
  <c r="AK9" i="17"/>
  <c r="AL9" i="17" s="1"/>
  <c r="AB9" i="17"/>
  <c r="AC9" i="17" s="1"/>
  <c r="BH12" i="17"/>
  <c r="BJ12" i="17" s="1"/>
  <c r="BK12" i="17" s="1"/>
  <c r="BW12" i="17"/>
  <c r="BZ12" i="17" s="1"/>
  <c r="CA12" i="17" s="1"/>
  <c r="BQ13" i="17"/>
  <c r="CM47" i="9"/>
  <c r="V11" i="17" s="1"/>
  <c r="BN47" i="9"/>
  <c r="V10" i="17" s="1"/>
  <c r="AT49" i="9"/>
  <c r="C9" i="17" s="1"/>
  <c r="AU47" i="9"/>
  <c r="AK9" i="4" s="1"/>
  <c r="AU46" i="9"/>
  <c r="AJ9" i="4" s="1"/>
  <c r="AU48" i="9"/>
  <c r="F9" i="17" s="1"/>
  <c r="AT47" i="9"/>
  <c r="AI9" i="4" s="1"/>
  <c r="AT46" i="9"/>
  <c r="AH9" i="4" s="1"/>
  <c r="AU49" i="9"/>
  <c r="D9" i="17" s="1"/>
  <c r="AT48" i="9"/>
  <c r="E9" i="17" s="1"/>
  <c r="AU54" i="9"/>
  <c r="O9" i="17" s="1"/>
  <c r="AV53" i="9"/>
  <c r="N9" i="17" s="1"/>
  <c r="AU52" i="9"/>
  <c r="K9" i="17" s="1"/>
  <c r="AU53" i="9"/>
  <c r="M9" i="17" s="1"/>
  <c r="AV51" i="9"/>
  <c r="J9" i="17" s="1"/>
  <c r="AV54" i="9"/>
  <c r="P9" i="17" s="1"/>
  <c r="AV52" i="9"/>
  <c r="L9" i="17" s="1"/>
  <c r="AU51" i="9"/>
  <c r="I9" i="17" s="1"/>
  <c r="AV50" i="9"/>
  <c r="H9" i="17" s="1"/>
  <c r="AU50" i="9"/>
  <c r="G9" i="17" s="1"/>
  <c r="AT13" i="16"/>
  <c r="AA19" i="10"/>
  <c r="AR18" i="10"/>
  <c r="Y19" i="10"/>
  <c r="AP18" i="10"/>
  <c r="AB14" i="4"/>
  <c r="AC14" i="4"/>
  <c r="L14" i="4"/>
  <c r="AX14" i="4"/>
  <c r="AE14" i="4"/>
  <c r="AD14" i="4"/>
  <c r="Z19" i="10"/>
  <c r="AQ18" i="10"/>
  <c r="AB19" i="10"/>
  <c r="AS18" i="10"/>
  <c r="N14" i="4"/>
  <c r="AL14" i="4" s="1"/>
  <c r="AR14" i="16" s="1"/>
  <c r="AN13" i="4"/>
  <c r="AK17" i="10"/>
  <c r="M15" i="8"/>
  <c r="R16" i="17" s="1"/>
  <c r="L15" i="8"/>
  <c r="Y15" i="8"/>
  <c r="X15" i="8"/>
  <c r="Z15" i="8"/>
  <c r="C14" i="4"/>
  <c r="E14" i="4"/>
  <c r="BH14" i="4" s="1"/>
  <c r="BN43" i="9"/>
  <c r="BP75" i="9" s="1"/>
  <c r="BN44" i="9"/>
  <c r="BP76" i="9" s="1"/>
  <c r="CM43" i="9"/>
  <c r="CO75" i="9" s="1"/>
  <c r="BN21" i="9"/>
  <c r="BP53" i="9" s="1"/>
  <c r="CM18" i="9"/>
  <c r="CO50" i="9" s="1"/>
  <c r="BN20" i="9"/>
  <c r="BP52" i="9" s="1"/>
  <c r="BN31" i="9"/>
  <c r="BP63" i="9" s="1"/>
  <c r="CM44" i="9"/>
  <c r="CO76" i="9" s="1"/>
  <c r="BN25" i="9"/>
  <c r="BP57" i="9" s="1"/>
  <c r="BN16" i="9"/>
  <c r="BP48" i="9" s="1"/>
  <c r="CM14" i="9"/>
  <c r="CO46" i="9" s="1"/>
  <c r="BN32" i="9"/>
  <c r="BP64" i="9" s="1"/>
  <c r="BN23" i="9"/>
  <c r="BP55" i="9" s="1"/>
  <c r="CM35" i="9"/>
  <c r="CO67" i="9" s="1"/>
  <c r="CM29" i="9"/>
  <c r="CO61" i="9" s="1"/>
  <c r="CM25" i="9"/>
  <c r="CO57" i="9" s="1"/>
  <c r="BN26" i="9"/>
  <c r="BP58" i="9" s="1"/>
  <c r="BN30" i="9"/>
  <c r="BP62" i="9" s="1"/>
  <c r="CM36" i="9"/>
  <c r="CO68" i="9" s="1"/>
  <c r="CM39" i="9"/>
  <c r="CO71" i="9" s="1"/>
  <c r="CM40" i="9"/>
  <c r="CO72" i="9" s="1"/>
  <c r="CM26" i="9"/>
  <c r="CO58" i="9" s="1"/>
  <c r="BN17" i="9"/>
  <c r="BP49" i="9" s="1"/>
  <c r="BN42" i="9"/>
  <c r="BP74" i="9" s="1"/>
  <c r="CM38" i="9"/>
  <c r="CO70" i="9" s="1"/>
  <c r="CM15" i="9"/>
  <c r="CO47" i="9" s="1"/>
  <c r="CM34" i="9"/>
  <c r="CO66" i="9" s="1"/>
  <c r="CM23" i="9"/>
  <c r="CO55" i="9" s="1"/>
  <c r="BN19" i="9"/>
  <c r="BP51" i="9" s="1"/>
  <c r="BN27" i="9"/>
  <c r="BP59" i="9" s="1"/>
  <c r="CM33" i="9"/>
  <c r="CO65" i="9" s="1"/>
  <c r="CM16" i="9"/>
  <c r="CO48" i="9" s="1"/>
  <c r="CM41" i="9"/>
  <c r="CO73" i="9" s="1"/>
  <c r="BN24" i="9"/>
  <c r="BP56" i="9" s="1"/>
  <c r="CM20" i="9"/>
  <c r="CO52" i="9" s="1"/>
  <c r="CM22" i="9"/>
  <c r="CO54" i="9" s="1"/>
  <c r="BN29" i="9"/>
  <c r="BP61" i="9" s="1"/>
  <c r="CM37" i="9"/>
  <c r="CO69" i="9" s="1"/>
  <c r="CM27" i="9"/>
  <c r="CO59" i="9" s="1"/>
  <c r="BN37" i="9"/>
  <c r="BP69" i="9" s="1"/>
  <c r="BN18" i="9"/>
  <c r="BP50" i="9" s="1"/>
  <c r="CM21" i="9"/>
  <c r="CO53" i="9" s="1"/>
  <c r="CM17" i="9"/>
  <c r="CO49" i="9" s="1"/>
  <c r="CM19" i="9"/>
  <c r="CO51" i="9" s="1"/>
  <c r="BN14" i="9"/>
  <c r="BP46" i="9" s="1"/>
  <c r="CM32" i="9"/>
  <c r="CO64" i="9" s="1"/>
  <c r="CM24" i="9"/>
  <c r="CO56" i="9" s="1"/>
  <c r="BN28" i="9"/>
  <c r="BP60" i="9" s="1"/>
  <c r="BN33" i="9"/>
  <c r="BP65" i="9" s="1"/>
  <c r="CM28" i="9"/>
  <c r="CO60" i="9" s="1"/>
  <c r="CM42" i="9"/>
  <c r="CO74" i="9" s="1"/>
  <c r="BN40" i="9"/>
  <c r="BP72" i="9" s="1"/>
  <c r="BN35" i="9"/>
  <c r="BP67" i="9" s="1"/>
  <c r="CM31" i="9"/>
  <c r="CO63" i="9" s="1"/>
  <c r="BN39" i="9"/>
  <c r="BP71" i="9" s="1"/>
  <c r="BN36" i="9"/>
  <c r="BP68" i="9" s="1"/>
  <c r="CM30" i="9"/>
  <c r="CO62" i="9" s="1"/>
  <c r="BN34" i="9"/>
  <c r="BP66" i="9" s="1"/>
  <c r="DC6" i="18"/>
  <c r="GN9" i="9"/>
  <c r="DI23" i="9"/>
  <c r="DK23" i="9"/>
  <c r="DJ55" i="9" s="1"/>
  <c r="DK55" i="9" s="1"/>
  <c r="DI39" i="9"/>
  <c r="DK39" i="9"/>
  <c r="DJ71" i="9" s="1"/>
  <c r="DK71" i="9" s="1"/>
  <c r="DI30" i="9"/>
  <c r="DK30" i="9"/>
  <c r="DJ62" i="9" s="1"/>
  <c r="DK62" i="9" s="1"/>
  <c r="DI33" i="9"/>
  <c r="DK33" i="9"/>
  <c r="DJ65" i="9" s="1"/>
  <c r="DK65" i="9" s="1"/>
  <c r="DI26" i="9"/>
  <c r="DK26" i="9"/>
  <c r="DJ58" i="9" s="1"/>
  <c r="DK58" i="9" s="1"/>
  <c r="DI18" i="9"/>
  <c r="DK18" i="9"/>
  <c r="DJ50" i="9" s="1"/>
  <c r="DK50" i="9" s="1"/>
  <c r="DK42" i="9"/>
  <c r="DJ74" i="9" s="1"/>
  <c r="DK74" i="9" s="1"/>
  <c r="DI42" i="9"/>
  <c r="DI32" i="9"/>
  <c r="DK32" i="9"/>
  <c r="DJ64" i="9" s="1"/>
  <c r="DK64" i="9" s="1"/>
  <c r="BN22" i="9"/>
  <c r="BP54" i="9" s="1"/>
  <c r="FL9" i="9"/>
  <c r="FM9" i="9" s="1"/>
  <c r="GD1" i="9"/>
  <c r="FN1" i="9"/>
  <c r="FL1" i="9"/>
  <c r="GC1" i="9"/>
  <c r="FM1" i="9"/>
  <c r="FP1" i="9"/>
  <c r="FK1" i="9"/>
  <c r="FV1" i="9"/>
  <c r="GB1" i="9"/>
  <c r="FW1" i="9"/>
  <c r="FU1" i="9"/>
  <c r="GF1" i="9"/>
  <c r="GA1" i="9"/>
  <c r="FZ1" i="9"/>
  <c r="FH1" i="9"/>
  <c r="FI1" i="9"/>
  <c r="FJ1" i="9"/>
  <c r="FY1" i="9"/>
  <c r="GE1" i="9"/>
  <c r="FQ1" i="9"/>
  <c r="FR1" i="9"/>
  <c r="FX1" i="9"/>
  <c r="FO1" i="9"/>
  <c r="FT1" i="9"/>
  <c r="FS1" i="9"/>
  <c r="DI21" i="9"/>
  <c r="DK21" i="9"/>
  <c r="DJ53" i="9" s="1"/>
  <c r="DK53" i="9" s="1"/>
  <c r="DI27" i="9"/>
  <c r="DK27" i="9"/>
  <c r="DJ59" i="9" s="1"/>
  <c r="DK59" i="9" s="1"/>
  <c r="DI20" i="9"/>
  <c r="DK20" i="9"/>
  <c r="DJ52" i="9" s="1"/>
  <c r="DK52" i="9" s="1"/>
  <c r="DI16" i="9"/>
  <c r="DK16" i="9"/>
  <c r="DJ48" i="9" s="1"/>
  <c r="DK48" i="9" s="1"/>
  <c r="DI29" i="9"/>
  <c r="DK29" i="9"/>
  <c r="DJ61" i="9" s="1"/>
  <c r="DK61" i="9" s="1"/>
  <c r="DI25" i="9"/>
  <c r="DK25" i="9"/>
  <c r="DJ57" i="9" s="1"/>
  <c r="DK57" i="9" s="1"/>
  <c r="DI31" i="9"/>
  <c r="DK31" i="9"/>
  <c r="DJ63" i="9" s="1"/>
  <c r="DK63" i="9" s="1"/>
  <c r="DI15" i="9"/>
  <c r="DK15" i="9"/>
  <c r="DJ47" i="9" s="1"/>
  <c r="DK47" i="9" s="1"/>
  <c r="BN38" i="9"/>
  <c r="BP70" i="9" s="1"/>
  <c r="BN15" i="9"/>
  <c r="BP47" i="9" s="1"/>
  <c r="BN41" i="9"/>
  <c r="BP73" i="9" s="1"/>
  <c r="DI43" i="9"/>
  <c r="DK43" i="9"/>
  <c r="DJ75" i="9" s="1"/>
  <c r="DK75" i="9" s="1"/>
  <c r="DI14" i="9"/>
  <c r="DK14" i="9"/>
  <c r="DJ46" i="9" s="1"/>
  <c r="DK46" i="9" s="1"/>
  <c r="DI41" i="9"/>
  <c r="DK41" i="9"/>
  <c r="DJ73" i="9" s="1"/>
  <c r="DK73" i="9" s="1"/>
  <c r="DI34" i="9"/>
  <c r="DK34" i="9"/>
  <c r="DJ66" i="9" s="1"/>
  <c r="DK66" i="9" s="1"/>
  <c r="DI37" i="9"/>
  <c r="DK37" i="9"/>
  <c r="DJ69" i="9" s="1"/>
  <c r="DK69" i="9" s="1"/>
  <c r="DK44" i="9"/>
  <c r="DI44" i="9"/>
  <c r="DL44" i="9"/>
  <c r="DN76" i="9" s="1"/>
  <c r="DI35" i="9"/>
  <c r="DK35" i="9"/>
  <c r="DJ67" i="9" s="1"/>
  <c r="DK67" i="9" s="1"/>
  <c r="DK36" i="9"/>
  <c r="DJ68" i="9" s="1"/>
  <c r="DK68" i="9" s="1"/>
  <c r="DI36" i="9"/>
  <c r="IG9" i="9"/>
  <c r="C23" i="9"/>
  <c r="DI28" i="9"/>
  <c r="DK28" i="9"/>
  <c r="DJ60" i="9" s="1"/>
  <c r="DK60" i="9" s="1"/>
  <c r="DI22" i="9"/>
  <c r="DK22" i="9"/>
  <c r="DJ54" i="9" s="1"/>
  <c r="DK54" i="9" s="1"/>
  <c r="DI40" i="9"/>
  <c r="DK40" i="9"/>
  <c r="DJ72" i="9" s="1"/>
  <c r="DK72" i="9" s="1"/>
  <c r="DK17" i="9"/>
  <c r="DJ49" i="9" s="1"/>
  <c r="DK49" i="9" s="1"/>
  <c r="DI17" i="9"/>
  <c r="DI19" i="9"/>
  <c r="DK19" i="9"/>
  <c r="DJ51" i="9" s="1"/>
  <c r="DK51" i="9" s="1"/>
  <c r="DI38" i="9"/>
  <c r="DK38" i="9"/>
  <c r="DJ70" i="9" s="1"/>
  <c r="DK70" i="9" s="1"/>
  <c r="DI24" i="9"/>
  <c r="DK24" i="9"/>
  <c r="DJ56" i="9" s="1"/>
  <c r="DK56" i="9" s="1"/>
  <c r="EI26" i="9"/>
  <c r="EI35" i="9"/>
  <c r="EI14" i="9"/>
  <c r="EI17" i="9"/>
  <c r="EI20" i="9"/>
  <c r="EI38" i="9"/>
  <c r="EI36" i="9"/>
  <c r="EI27" i="9"/>
  <c r="EI39" i="9"/>
  <c r="EI32" i="9"/>
  <c r="EI15" i="9"/>
  <c r="EI42" i="9"/>
  <c r="EI43" i="9"/>
  <c r="EI31" i="9"/>
  <c r="EI16" i="9"/>
  <c r="EI25" i="9"/>
  <c r="EI28" i="9"/>
  <c r="EI19" i="9"/>
  <c r="EI33" i="9"/>
  <c r="EI24" i="9"/>
  <c r="EI23" i="9"/>
  <c r="EI37" i="9"/>
  <c r="EI29" i="9"/>
  <c r="EI30" i="9"/>
  <c r="EI41" i="9"/>
  <c r="EI40" i="9"/>
  <c r="EI22" i="9"/>
  <c r="EI21" i="9"/>
  <c r="EI44" i="9"/>
  <c r="EI18" i="9"/>
  <c r="EI34" i="9"/>
  <c r="D16" i="8"/>
  <c r="V8" i="24" l="1"/>
  <c r="U8" i="24"/>
  <c r="V9" i="24"/>
  <c r="T8" i="24"/>
  <c r="W8" i="24"/>
  <c r="U9" i="24"/>
  <c r="W9" i="24"/>
  <c r="T9" i="24"/>
  <c r="U15" i="4"/>
  <c r="N15" i="4" s="1"/>
  <c r="AL15" i="4" s="1"/>
  <c r="AR15" i="16" s="1"/>
  <c r="F14" i="4"/>
  <c r="BI14" i="4" s="1"/>
  <c r="I14" i="4"/>
  <c r="BL14" i="4" s="1"/>
  <c r="O14" i="4"/>
  <c r="AM14" i="4" s="1"/>
  <c r="AS14" i="16" s="1"/>
  <c r="AT14" i="16" s="1"/>
  <c r="AA14" i="4"/>
  <c r="AF14" i="4"/>
  <c r="AV14" i="4"/>
  <c r="Z14" i="4"/>
  <c r="AG14" i="4"/>
  <c r="AV13" i="17"/>
  <c r="BH13" i="17" s="1"/>
  <c r="BJ13" i="17" s="1"/>
  <c r="BK13" i="17" s="1"/>
  <c r="BB13" i="17"/>
  <c r="CM14" i="17"/>
  <c r="BE13" i="17"/>
  <c r="AQ16" i="16"/>
  <c r="S9" i="17"/>
  <c r="BF9" i="17" s="1"/>
  <c r="BG9" i="17" s="1"/>
  <c r="BY14" i="17"/>
  <c r="BQ14" i="17" s="1"/>
  <c r="CG14" i="17"/>
  <c r="CJ14" i="17"/>
  <c r="CP14" i="17"/>
  <c r="BI14" i="17"/>
  <c r="BE14" i="17" s="1"/>
  <c r="BN14" i="17"/>
  <c r="CD14" i="17"/>
  <c r="AG15" i="16"/>
  <c r="F13" i="20" s="1"/>
  <c r="D14" i="4"/>
  <c r="BG14" i="4" s="1"/>
  <c r="G14" i="4"/>
  <c r="BJ14" i="4" s="1"/>
  <c r="K14" i="4"/>
  <c r="AU14" i="4"/>
  <c r="BB14" i="4"/>
  <c r="M14" i="4"/>
  <c r="BC14" i="4"/>
  <c r="AY14" i="4"/>
  <c r="BF14" i="4"/>
  <c r="AP15" i="16"/>
  <c r="CU15" i="17" s="1"/>
  <c r="AQ15" i="17" s="1"/>
  <c r="T16" i="10"/>
  <c r="B14" i="4"/>
  <c r="H14" i="4"/>
  <c r="BK14" i="4" s="1"/>
  <c r="P14" i="4"/>
  <c r="BD14" i="4"/>
  <c r="AZ14" i="4"/>
  <c r="BE14" i="4"/>
  <c r="BA14" i="4"/>
  <c r="AW14" i="4"/>
  <c r="AN16" i="16"/>
  <c r="Q16" i="17"/>
  <c r="AG16" i="4"/>
  <c r="O16" i="17"/>
  <c r="AE16" i="4"/>
  <c r="AX16" i="4"/>
  <c r="BA16" i="4"/>
  <c r="N16" i="17"/>
  <c r="K16" i="17"/>
  <c r="AZ16" i="4"/>
  <c r="AC16" i="4"/>
  <c r="AU16" i="4"/>
  <c r="AY16" i="4"/>
  <c r="L16" i="17"/>
  <c r="AB16" i="4"/>
  <c r="AD16" i="4"/>
  <c r="BD16" i="4"/>
  <c r="F16" i="17"/>
  <c r="AV16" i="4"/>
  <c r="AW16" i="4"/>
  <c r="Z16" i="4"/>
  <c r="BE16" i="4"/>
  <c r="BF16" i="4"/>
  <c r="BC16" i="4"/>
  <c r="IE10" i="9"/>
  <c r="H13" i="3"/>
  <c r="AA17" i="17" s="1"/>
  <c r="AF16" i="4"/>
  <c r="AR9" i="17"/>
  <c r="AS9" i="17" s="1"/>
  <c r="W10" i="17"/>
  <c r="AN10" i="17"/>
  <c r="AO10" i="17" s="1"/>
  <c r="AE10" i="17"/>
  <c r="AF10" i="17" s="1"/>
  <c r="AK10" i="17"/>
  <c r="AL10" i="17" s="1"/>
  <c r="AJ10" i="17"/>
  <c r="AP10" i="17"/>
  <c r="AG10" i="17"/>
  <c r="AB10" i="17"/>
  <c r="AC10" i="17" s="1"/>
  <c r="AH10" i="17"/>
  <c r="AI10" i="17" s="1"/>
  <c r="AM10" i="17"/>
  <c r="AD10" i="17"/>
  <c r="W11" i="17"/>
  <c r="AN11" i="17"/>
  <c r="AO11" i="17" s="1"/>
  <c r="AE11" i="17"/>
  <c r="AF11" i="17" s="1"/>
  <c r="AJ11" i="17"/>
  <c r="AP11" i="17"/>
  <c r="AK11" i="17"/>
  <c r="AL11" i="17" s="1"/>
  <c r="AB11" i="17"/>
  <c r="AC11" i="17" s="1"/>
  <c r="AH11" i="17"/>
  <c r="AI11" i="17" s="1"/>
  <c r="AG11" i="17"/>
  <c r="AM11" i="17"/>
  <c r="AD11" i="17"/>
  <c r="AW9" i="17"/>
  <c r="AX9" i="17" s="1"/>
  <c r="BC9" i="17"/>
  <c r="BD9" i="17" s="1"/>
  <c r="AT9" i="17"/>
  <c r="AU9" i="17" s="1"/>
  <c r="BO9" i="17"/>
  <c r="BR9" i="17"/>
  <c r="BS9" i="17" s="1"/>
  <c r="BU9" i="17"/>
  <c r="BV9" i="17" s="1"/>
  <c r="U9" i="17"/>
  <c r="CQ9" i="17"/>
  <c r="CS9" i="17" s="1"/>
  <c r="BW13" i="17"/>
  <c r="BZ13" i="17" s="1"/>
  <c r="CA13" i="17" s="1"/>
  <c r="BI15" i="17"/>
  <c r="CP15" i="17"/>
  <c r="CG15" i="17"/>
  <c r="BY15" i="17"/>
  <c r="DL47" i="9"/>
  <c r="V12" i="17" s="1"/>
  <c r="CS48" i="9"/>
  <c r="F11" i="17" s="1"/>
  <c r="CS49" i="9"/>
  <c r="D11" i="17" s="1"/>
  <c r="CR48" i="9"/>
  <c r="E11" i="17" s="1"/>
  <c r="CS47" i="9"/>
  <c r="AK11" i="4" s="1"/>
  <c r="CS46" i="9"/>
  <c r="AJ11" i="4" s="1"/>
  <c r="CR49" i="9"/>
  <c r="C11" i="17" s="1"/>
  <c r="CR47" i="9"/>
  <c r="AI11" i="4" s="1"/>
  <c r="CR46" i="9"/>
  <c r="AH11" i="4" s="1"/>
  <c r="BT48" i="9"/>
  <c r="F10" i="17" s="1"/>
  <c r="BT47" i="9"/>
  <c r="AK10" i="4" s="1"/>
  <c r="BT46" i="9"/>
  <c r="AJ10" i="4" s="1"/>
  <c r="BT49" i="9"/>
  <c r="D10" i="17" s="1"/>
  <c r="BS48" i="9"/>
  <c r="E10" i="17" s="1"/>
  <c r="BS47" i="9"/>
  <c r="AI10" i="4" s="1"/>
  <c r="BS46" i="9"/>
  <c r="AH10" i="4" s="1"/>
  <c r="BS49" i="9"/>
  <c r="C10" i="17" s="1"/>
  <c r="BU54" i="9"/>
  <c r="P10" i="17" s="1"/>
  <c r="BT53" i="9"/>
  <c r="M10" i="17" s="1"/>
  <c r="BT54" i="9"/>
  <c r="O10" i="17" s="1"/>
  <c r="BU51" i="9"/>
  <c r="J10" i="17" s="1"/>
  <c r="BU52" i="9"/>
  <c r="L10" i="17" s="1"/>
  <c r="BT51" i="9"/>
  <c r="I10" i="17" s="1"/>
  <c r="BU53" i="9"/>
  <c r="N10" i="17" s="1"/>
  <c r="BT52" i="9"/>
  <c r="K10" i="17" s="1"/>
  <c r="BU50" i="9"/>
  <c r="H10" i="17" s="1"/>
  <c r="BT50" i="9"/>
  <c r="G10" i="17" s="1"/>
  <c r="CT54" i="9"/>
  <c r="P11" i="17" s="1"/>
  <c r="CS54" i="9"/>
  <c r="O11" i="17" s="1"/>
  <c r="CT51" i="9"/>
  <c r="J11" i="17" s="1"/>
  <c r="CT52" i="9"/>
  <c r="L11" i="17" s="1"/>
  <c r="CS51" i="9"/>
  <c r="I11" i="17" s="1"/>
  <c r="CT53" i="9"/>
  <c r="N11" i="17" s="1"/>
  <c r="CS52" i="9"/>
  <c r="K11" i="17" s="1"/>
  <c r="CS53" i="9"/>
  <c r="M11" i="17" s="1"/>
  <c r="CT50" i="9"/>
  <c r="H11" i="17" s="1"/>
  <c r="CS50" i="9"/>
  <c r="G11" i="17" s="1"/>
  <c r="AN14" i="4"/>
  <c r="K15" i="4"/>
  <c r="Y20" i="10"/>
  <c r="AP20" i="10" s="1"/>
  <c r="AP19" i="10"/>
  <c r="L16" i="4"/>
  <c r="AO16" i="16"/>
  <c r="Z20" i="10"/>
  <c r="AQ20" i="10" s="1"/>
  <c r="AQ19" i="10"/>
  <c r="BF15" i="4"/>
  <c r="BB15" i="4"/>
  <c r="AX15" i="4"/>
  <c r="AC15" i="4"/>
  <c r="AU15" i="4"/>
  <c r="BA15" i="4"/>
  <c r="Z15" i="4"/>
  <c r="AW15" i="4"/>
  <c r="AG15" i="4"/>
  <c r="BD15" i="4"/>
  <c r="AA15" i="4"/>
  <c r="AV15" i="4"/>
  <c r="AB15" i="4"/>
  <c r="BC15" i="4"/>
  <c r="AE15" i="4"/>
  <c r="AY15" i="4"/>
  <c r="BE15" i="4"/>
  <c r="AD15" i="4"/>
  <c r="M15" i="4"/>
  <c r="L15" i="4"/>
  <c r="AZ15" i="4"/>
  <c r="AF15" i="4"/>
  <c r="J15" i="4"/>
  <c r="AA20" i="10"/>
  <c r="AR20" i="10" s="1"/>
  <c r="AR19" i="10"/>
  <c r="P15" i="4"/>
  <c r="O15" i="4"/>
  <c r="AM15" i="4" s="1"/>
  <c r="AS15" i="16" s="1"/>
  <c r="AT15" i="16" s="1"/>
  <c r="AB20" i="10"/>
  <c r="AS20" i="10" s="1"/>
  <c r="AS19" i="10"/>
  <c r="AK18" i="10"/>
  <c r="AQ17" i="16" s="1"/>
  <c r="M16" i="8"/>
  <c r="R17" i="17" s="1"/>
  <c r="K16" i="4"/>
  <c r="L16" i="8"/>
  <c r="Q17" i="17" s="1"/>
  <c r="J16" i="4"/>
  <c r="Y16" i="8"/>
  <c r="Y17" i="8" s="1"/>
  <c r="Y18" i="8" s="1"/>
  <c r="O16" i="4"/>
  <c r="AM16" i="4" s="1"/>
  <c r="X16" i="8"/>
  <c r="X17" i="8" s="1"/>
  <c r="X18" i="8" s="1"/>
  <c r="N16" i="4"/>
  <c r="AL16" i="4" s="1"/>
  <c r="AR16" i="16" s="1"/>
  <c r="Z16" i="8"/>
  <c r="P16" i="4"/>
  <c r="AM10" i="10"/>
  <c r="H15" i="4"/>
  <c r="BK15" i="4" s="1"/>
  <c r="F15" i="4"/>
  <c r="BI15" i="4" s="1"/>
  <c r="G15" i="4"/>
  <c r="BJ15" i="4" s="1"/>
  <c r="B15" i="4"/>
  <c r="D15" i="4"/>
  <c r="BG15" i="4" s="1"/>
  <c r="I15" i="4"/>
  <c r="BL15" i="4" s="1"/>
  <c r="E15" i="4"/>
  <c r="BH15" i="4" s="1"/>
  <c r="C15" i="4"/>
  <c r="DL42" i="9"/>
  <c r="DN74" i="9" s="1"/>
  <c r="DL29" i="9"/>
  <c r="DN61" i="9" s="1"/>
  <c r="DL20" i="9"/>
  <c r="DN52" i="9" s="1"/>
  <c r="DL21" i="9"/>
  <c r="DN53" i="9" s="1"/>
  <c r="DL32" i="9"/>
  <c r="DN64" i="9" s="1"/>
  <c r="DL28" i="9"/>
  <c r="DN60" i="9" s="1"/>
  <c r="DL33" i="9"/>
  <c r="DN65" i="9" s="1"/>
  <c r="DL39" i="9"/>
  <c r="DN71" i="9" s="1"/>
  <c r="DL24" i="9"/>
  <c r="DN56" i="9" s="1"/>
  <c r="DL23" i="9"/>
  <c r="DN55" i="9" s="1"/>
  <c r="DL17" i="9"/>
  <c r="DN49" i="9" s="1"/>
  <c r="DL36" i="9"/>
  <c r="DN68" i="9" s="1"/>
  <c r="DL14" i="9"/>
  <c r="DN46" i="9" s="1"/>
  <c r="DL25" i="9"/>
  <c r="DN57" i="9" s="1"/>
  <c r="DL16" i="9"/>
  <c r="DN48" i="9" s="1"/>
  <c r="DL19" i="9"/>
  <c r="DN51" i="9" s="1"/>
  <c r="DL34" i="9"/>
  <c r="DN66" i="9" s="1"/>
  <c r="DL27" i="9"/>
  <c r="DN59" i="9" s="1"/>
  <c r="DL35" i="9"/>
  <c r="DN67" i="9" s="1"/>
  <c r="DL37" i="9"/>
  <c r="DN69" i="9" s="1"/>
  <c r="DL43" i="9"/>
  <c r="DN75" i="9" s="1"/>
  <c r="DL31" i="9"/>
  <c r="DN63" i="9" s="1"/>
  <c r="DL38" i="9"/>
  <c r="DN70" i="9" s="1"/>
  <c r="DL22" i="9"/>
  <c r="DN54" i="9" s="1"/>
  <c r="DL15" i="9"/>
  <c r="DN47" i="9" s="1"/>
  <c r="DL26" i="9"/>
  <c r="DN58" i="9" s="1"/>
  <c r="DL30" i="9"/>
  <c r="DN62" i="9" s="1"/>
  <c r="EH29" i="9"/>
  <c r="EJ29" i="9"/>
  <c r="EI61" i="9" s="1"/>
  <c r="EJ61" i="9" s="1"/>
  <c r="EH15" i="9"/>
  <c r="EJ15" i="9"/>
  <c r="EI47" i="9" s="1"/>
  <c r="EJ47" i="9" s="1"/>
  <c r="EH18" i="9"/>
  <c r="EJ18" i="9"/>
  <c r="EI50" i="9" s="1"/>
  <c r="EJ50" i="9" s="1"/>
  <c r="EH40" i="9"/>
  <c r="EJ40" i="9"/>
  <c r="EI72" i="9" s="1"/>
  <c r="EJ72" i="9" s="1"/>
  <c r="EJ37" i="9"/>
  <c r="EI69" i="9" s="1"/>
  <c r="EJ69" i="9" s="1"/>
  <c r="EH37" i="9"/>
  <c r="EH19" i="9"/>
  <c r="EJ19" i="9"/>
  <c r="EI51" i="9" s="1"/>
  <c r="EJ51" i="9" s="1"/>
  <c r="EH31" i="9"/>
  <c r="EJ31" i="9"/>
  <c r="EI63" i="9" s="1"/>
  <c r="EJ63" i="9" s="1"/>
  <c r="EH32" i="9"/>
  <c r="EJ32" i="9"/>
  <c r="EI64" i="9" s="1"/>
  <c r="EJ64" i="9" s="1"/>
  <c r="EH38" i="9"/>
  <c r="EJ38" i="9"/>
  <c r="EI70" i="9" s="1"/>
  <c r="EJ70" i="9" s="1"/>
  <c r="EH35" i="9"/>
  <c r="EJ35" i="9"/>
  <c r="EI67" i="9" s="1"/>
  <c r="EJ67" i="9" s="1"/>
  <c r="DL41" i="9"/>
  <c r="DN73" i="9" s="1"/>
  <c r="EH41" i="9"/>
  <c r="EJ41" i="9"/>
  <c r="EI73" i="9" s="1"/>
  <c r="EJ73" i="9" s="1"/>
  <c r="EH23" i="9"/>
  <c r="EJ23" i="9"/>
  <c r="EI55" i="9" s="1"/>
  <c r="EJ55" i="9" s="1"/>
  <c r="EH28" i="9"/>
  <c r="EJ28" i="9"/>
  <c r="EI60" i="9" s="1"/>
  <c r="EJ60" i="9" s="1"/>
  <c r="EJ43" i="9"/>
  <c r="EI75" i="9" s="1"/>
  <c r="EJ75" i="9" s="1"/>
  <c r="EH43" i="9"/>
  <c r="EJ39" i="9"/>
  <c r="EI71" i="9" s="1"/>
  <c r="EJ71" i="9" s="1"/>
  <c r="EH39" i="9"/>
  <c r="EJ20" i="9"/>
  <c r="EI52" i="9" s="1"/>
  <c r="EJ52" i="9" s="1"/>
  <c r="EH20" i="9"/>
  <c r="EH26" i="9"/>
  <c r="EJ26" i="9"/>
  <c r="EI58" i="9" s="1"/>
  <c r="EJ58" i="9" s="1"/>
  <c r="EJ34" i="9"/>
  <c r="EI66" i="9" s="1"/>
  <c r="EJ66" i="9" s="1"/>
  <c r="EH34" i="9"/>
  <c r="EH33" i="9"/>
  <c r="EJ33" i="9"/>
  <c r="EI65" i="9" s="1"/>
  <c r="EJ65" i="9" s="1"/>
  <c r="EH44" i="9"/>
  <c r="EJ44" i="9"/>
  <c r="EI76" i="9" s="1"/>
  <c r="EJ76" i="9" s="1"/>
  <c r="JF9" i="9"/>
  <c r="C24" i="9"/>
  <c r="EJ21" i="9"/>
  <c r="EI53" i="9" s="1"/>
  <c r="EJ53" i="9" s="1"/>
  <c r="EH21" i="9"/>
  <c r="EH30" i="9"/>
  <c r="EJ30" i="9"/>
  <c r="EI62" i="9" s="1"/>
  <c r="EJ62" i="9" s="1"/>
  <c r="EH24" i="9"/>
  <c r="EJ24" i="9"/>
  <c r="EI56" i="9" s="1"/>
  <c r="EJ56" i="9" s="1"/>
  <c r="EH25" i="9"/>
  <c r="EJ25" i="9"/>
  <c r="EI57" i="9" s="1"/>
  <c r="EJ57" i="9" s="1"/>
  <c r="EH42" i="9"/>
  <c r="EJ42" i="9"/>
  <c r="EI74" i="9" s="1"/>
  <c r="EJ74" i="9" s="1"/>
  <c r="EH27" i="9"/>
  <c r="EJ27" i="9"/>
  <c r="EI59" i="9" s="1"/>
  <c r="EJ59" i="9" s="1"/>
  <c r="EH17" i="9"/>
  <c r="EJ17" i="9"/>
  <c r="EI49" i="9" s="1"/>
  <c r="EJ49" i="9" s="1"/>
  <c r="DL40" i="9"/>
  <c r="DN72" i="9" s="1"/>
  <c r="FH37" i="9"/>
  <c r="FH18" i="9"/>
  <c r="FH19" i="9"/>
  <c r="FH33" i="9"/>
  <c r="FH34" i="9"/>
  <c r="FH27" i="9"/>
  <c r="FH29" i="9"/>
  <c r="FH40" i="9"/>
  <c r="FH30" i="9"/>
  <c r="FH38" i="9"/>
  <c r="FH36" i="9"/>
  <c r="FH25" i="9"/>
  <c r="FH32" i="9"/>
  <c r="FH22" i="9"/>
  <c r="FH26" i="9"/>
  <c r="FH14" i="9"/>
  <c r="FH35" i="9"/>
  <c r="FH21" i="9"/>
  <c r="FH17" i="9"/>
  <c r="FH41" i="9"/>
  <c r="FH20" i="9"/>
  <c r="FH23" i="9"/>
  <c r="FH39" i="9"/>
  <c r="FH24" i="9"/>
  <c r="FH44" i="9"/>
  <c r="FH76" i="9" s="1"/>
  <c r="FI76" i="9" s="1"/>
  <c r="FH16" i="9"/>
  <c r="FH15" i="9"/>
  <c r="FH28" i="9"/>
  <c r="FH43" i="9"/>
  <c r="FH42" i="9"/>
  <c r="FH31" i="9"/>
  <c r="DL18" i="9"/>
  <c r="DN50" i="9" s="1"/>
  <c r="GK9" i="9"/>
  <c r="GL9" i="9" s="1"/>
  <c r="GZ1" i="9"/>
  <c r="GJ1" i="9"/>
  <c r="GQ1" i="9"/>
  <c r="GX1" i="9"/>
  <c r="GH1" i="9"/>
  <c r="GS1" i="9"/>
  <c r="GR1" i="9"/>
  <c r="GY1" i="9"/>
  <c r="GI1" i="9"/>
  <c r="GP1" i="9"/>
  <c r="HA1" i="9"/>
  <c r="GK1" i="9"/>
  <c r="GV1" i="9"/>
  <c r="GM1" i="9"/>
  <c r="HE1" i="9"/>
  <c r="HC1" i="9"/>
  <c r="GT1" i="9"/>
  <c r="GO1" i="9"/>
  <c r="GU1" i="9"/>
  <c r="GG1" i="9"/>
  <c r="HB1" i="9"/>
  <c r="HD1" i="9"/>
  <c r="GL1" i="9"/>
  <c r="GN1" i="9"/>
  <c r="GW1" i="9"/>
  <c r="EH22" i="9"/>
  <c r="EJ22" i="9"/>
  <c r="EI54" i="9" s="1"/>
  <c r="EJ54" i="9" s="1"/>
  <c r="EH16" i="9"/>
  <c r="EJ16" i="9"/>
  <c r="EI48" i="9" s="1"/>
  <c r="EJ48" i="9" s="1"/>
  <c r="EH36" i="9"/>
  <c r="EJ36" i="9"/>
  <c r="EI68" i="9" s="1"/>
  <c r="EJ68" i="9" s="1"/>
  <c r="EH14" i="9"/>
  <c r="EJ14" i="9"/>
  <c r="EI46" i="9" s="1"/>
  <c r="EJ46" i="9" s="1"/>
  <c r="EE6" i="18"/>
  <c r="IL9" i="9"/>
  <c r="D17" i="8"/>
  <c r="AC5" i="1"/>
  <c r="AC2" i="1"/>
  <c r="CM15" i="17" l="1"/>
  <c r="CD15" i="17"/>
  <c r="CJ15" i="17"/>
  <c r="BN15" i="17"/>
  <c r="AZ9" i="17"/>
  <c r="BA9" i="17" s="1"/>
  <c r="BT14" i="17"/>
  <c r="AP16" i="16"/>
  <c r="CU16" i="17" s="1"/>
  <c r="AQ16" i="17" s="1"/>
  <c r="BB14" i="17"/>
  <c r="AY14" i="17"/>
  <c r="AV14" i="17"/>
  <c r="T18" i="10"/>
  <c r="U17" i="4"/>
  <c r="JD10" i="9"/>
  <c r="H14" i="3"/>
  <c r="AA18" i="17" s="1"/>
  <c r="AG17" i="16"/>
  <c r="F15" i="20" s="1"/>
  <c r="S10" i="17"/>
  <c r="AZ10" i="17" s="1"/>
  <c r="BA10" i="17" s="1"/>
  <c r="AR10" i="17"/>
  <c r="AS10" i="17" s="1"/>
  <c r="DH16" i="17"/>
  <c r="AR11" i="17"/>
  <c r="AS11" i="17" s="1"/>
  <c r="S11" i="17"/>
  <c r="AT11" i="17" s="1"/>
  <c r="AU11" i="17" s="1"/>
  <c r="W12" i="17"/>
  <c r="AD12" i="17"/>
  <c r="AJ12" i="17"/>
  <c r="AK12" i="17"/>
  <c r="AL12" i="17" s="1"/>
  <c r="AB12" i="17"/>
  <c r="AC12" i="17" s="1"/>
  <c r="AP12" i="17"/>
  <c r="AG12" i="17"/>
  <c r="AM12" i="17"/>
  <c r="AH12" i="17"/>
  <c r="AI12" i="17" s="1"/>
  <c r="AN12" i="17"/>
  <c r="AO12" i="17" s="1"/>
  <c r="AE12" i="17"/>
  <c r="AF12" i="17" s="1"/>
  <c r="CQ10" i="17"/>
  <c r="CS10" i="17" s="1"/>
  <c r="U10" i="17"/>
  <c r="BU11" i="17"/>
  <c r="BV11" i="17" s="1"/>
  <c r="BO11" i="17"/>
  <c r="BR11" i="17"/>
  <c r="BS11" i="17" s="1"/>
  <c r="BX9" i="17"/>
  <c r="BP9" i="17"/>
  <c r="U11" i="17"/>
  <c r="BO10" i="17"/>
  <c r="BR10" i="17"/>
  <c r="BS10" i="17" s="1"/>
  <c r="BU10" i="17"/>
  <c r="BV10" i="17" s="1"/>
  <c r="CQ11" i="17"/>
  <c r="CS11" i="17" s="1"/>
  <c r="BW14" i="17"/>
  <c r="BZ14" i="17" s="1"/>
  <c r="CA14" i="17" s="1"/>
  <c r="CM16" i="17"/>
  <c r="CD16" i="17"/>
  <c r="BN16" i="17"/>
  <c r="CJ16" i="17"/>
  <c r="BB15" i="17"/>
  <c r="AV15" i="17"/>
  <c r="BE15" i="17"/>
  <c r="AY15" i="17"/>
  <c r="BT15" i="17"/>
  <c r="BQ15" i="17"/>
  <c r="EK47" i="9"/>
  <c r="V13" i="17" s="1"/>
  <c r="DR49" i="9"/>
  <c r="D12" i="17" s="1"/>
  <c r="DQ48" i="9"/>
  <c r="E12" i="17" s="1"/>
  <c r="DQ49" i="9"/>
  <c r="C12" i="17" s="1"/>
  <c r="DR47" i="9"/>
  <c r="AK12" i="4" s="1"/>
  <c r="DR46" i="9"/>
  <c r="AJ12" i="4" s="1"/>
  <c r="DQ47" i="9"/>
  <c r="AI12" i="4" s="1"/>
  <c r="DQ46" i="9"/>
  <c r="AH12" i="4" s="1"/>
  <c r="DR48" i="9"/>
  <c r="F12" i="17" s="1"/>
  <c r="DR54" i="9"/>
  <c r="O12" i="17" s="1"/>
  <c r="DS54" i="9"/>
  <c r="P12" i="17" s="1"/>
  <c r="DS52" i="9"/>
  <c r="L12" i="17" s="1"/>
  <c r="DR51" i="9"/>
  <c r="I12" i="17" s="1"/>
  <c r="DS53" i="9"/>
  <c r="N12" i="17" s="1"/>
  <c r="DR52" i="9"/>
  <c r="K12" i="17" s="1"/>
  <c r="DR53" i="9"/>
  <c r="M12" i="17" s="1"/>
  <c r="DS50" i="9"/>
  <c r="H12" i="17" s="1"/>
  <c r="DS51" i="9"/>
  <c r="J12" i="17" s="1"/>
  <c r="DR50" i="9"/>
  <c r="G12" i="17" s="1"/>
  <c r="AN15" i="4"/>
  <c r="M17" i="8"/>
  <c r="R18" i="17" s="1"/>
  <c r="AO17" i="16"/>
  <c r="AK19" i="10"/>
  <c r="AQ18" i="16" s="1"/>
  <c r="L17" i="8"/>
  <c r="Q18" i="17" s="1"/>
  <c r="AN17" i="16"/>
  <c r="AK20" i="10"/>
  <c r="AQ19" i="16" s="1"/>
  <c r="Z17" i="8"/>
  <c r="AR17" i="16"/>
  <c r="AS17" i="16"/>
  <c r="AS16" i="16"/>
  <c r="AN16" i="4"/>
  <c r="AM12" i="10"/>
  <c r="AM11" i="10"/>
  <c r="EK16" i="9"/>
  <c r="EM48" i="9" s="1"/>
  <c r="EK43" i="9"/>
  <c r="EM75" i="9" s="1"/>
  <c r="EK26" i="9"/>
  <c r="EM58" i="9" s="1"/>
  <c r="EK27" i="9"/>
  <c r="EM59" i="9" s="1"/>
  <c r="EK32" i="9"/>
  <c r="EM64" i="9" s="1"/>
  <c r="EK40" i="9"/>
  <c r="EM72" i="9" s="1"/>
  <c r="EK36" i="9"/>
  <c r="EM68" i="9" s="1"/>
  <c r="EK44" i="9"/>
  <c r="EM76" i="9" s="1"/>
  <c r="EK23" i="9"/>
  <c r="EM55" i="9" s="1"/>
  <c r="EK25" i="9"/>
  <c r="EM57" i="9" s="1"/>
  <c r="EK21" i="9"/>
  <c r="EM53" i="9" s="1"/>
  <c r="EK28" i="9"/>
  <c r="EM60" i="9" s="1"/>
  <c r="EK18" i="9"/>
  <c r="EM50" i="9" s="1"/>
  <c r="EK15" i="9"/>
  <c r="EM47" i="9" s="1"/>
  <c r="EK14" i="9"/>
  <c r="EM46" i="9" s="1"/>
  <c r="EK22" i="9"/>
  <c r="EM54" i="9" s="1"/>
  <c r="EK17" i="9"/>
  <c r="EM49" i="9" s="1"/>
  <c r="EK24" i="9"/>
  <c r="EM56" i="9" s="1"/>
  <c r="EK29" i="9"/>
  <c r="EM61" i="9" s="1"/>
  <c r="EK34" i="9"/>
  <c r="EM66" i="9" s="1"/>
  <c r="EK20" i="9"/>
  <c r="EM52" i="9" s="1"/>
  <c r="EK38" i="9"/>
  <c r="EM70" i="9" s="1"/>
  <c r="EK37" i="9"/>
  <c r="EM69" i="9" s="1"/>
  <c r="EK42" i="9"/>
  <c r="EM74" i="9" s="1"/>
  <c r="EK33" i="9"/>
  <c r="EM65" i="9" s="1"/>
  <c r="EK41" i="9"/>
  <c r="EM73" i="9" s="1"/>
  <c r="EK31" i="9"/>
  <c r="EM63" i="9" s="1"/>
  <c r="EK39" i="9"/>
  <c r="EM71" i="9" s="1"/>
  <c r="EK35" i="9"/>
  <c r="EM67" i="9" s="1"/>
  <c r="EK19" i="9"/>
  <c r="EM51" i="9" s="1"/>
  <c r="FI15" i="9"/>
  <c r="FH47" i="9" s="1"/>
  <c r="FI47" i="9" s="1"/>
  <c r="FG15" i="9"/>
  <c r="FI39" i="9"/>
  <c r="FH71" i="9" s="1"/>
  <c r="FI71" i="9" s="1"/>
  <c r="FG39" i="9"/>
  <c r="FI17" i="9"/>
  <c r="FH49" i="9" s="1"/>
  <c r="FI49" i="9" s="1"/>
  <c r="FG17" i="9"/>
  <c r="FI26" i="9"/>
  <c r="FH58" i="9" s="1"/>
  <c r="FI58" i="9" s="1"/>
  <c r="FG26" i="9"/>
  <c r="FI36" i="9"/>
  <c r="FH68" i="9" s="1"/>
  <c r="FI68" i="9" s="1"/>
  <c r="FG36" i="9"/>
  <c r="FG29" i="9"/>
  <c r="FI29" i="9"/>
  <c r="FH61" i="9" s="1"/>
  <c r="FI61" i="9" s="1"/>
  <c r="FI19" i="9"/>
  <c r="FH51" i="9" s="1"/>
  <c r="FI51" i="9" s="1"/>
  <c r="FG19" i="9"/>
  <c r="ES6" i="18"/>
  <c r="JK9" i="9"/>
  <c r="FG31" i="9"/>
  <c r="FI31" i="9"/>
  <c r="FH63" i="9" s="1"/>
  <c r="FI63" i="9" s="1"/>
  <c r="FG42" i="9"/>
  <c r="FI42" i="9"/>
  <c r="FH74" i="9" s="1"/>
  <c r="FI74" i="9" s="1"/>
  <c r="FG16" i="9"/>
  <c r="FI16" i="9"/>
  <c r="FH48" i="9" s="1"/>
  <c r="FI48" i="9" s="1"/>
  <c r="FI23" i="9"/>
  <c r="FH55" i="9" s="1"/>
  <c r="FI55" i="9" s="1"/>
  <c r="FG23" i="9"/>
  <c r="FI21" i="9"/>
  <c r="FH53" i="9" s="1"/>
  <c r="FI53" i="9" s="1"/>
  <c r="FG21" i="9"/>
  <c r="FI22" i="9"/>
  <c r="FH54" i="9" s="1"/>
  <c r="FI54" i="9" s="1"/>
  <c r="FG22" i="9"/>
  <c r="FG38" i="9"/>
  <c r="FI38" i="9"/>
  <c r="FH70" i="9" s="1"/>
  <c r="FI70" i="9" s="1"/>
  <c r="FI27" i="9"/>
  <c r="FH59" i="9" s="1"/>
  <c r="FI59" i="9" s="1"/>
  <c r="FG27" i="9"/>
  <c r="FI18" i="9"/>
  <c r="FH50" i="9" s="1"/>
  <c r="FI50" i="9" s="1"/>
  <c r="FG18" i="9"/>
  <c r="T19" i="10"/>
  <c r="II9" i="9"/>
  <c r="IJ9" i="9" s="1"/>
  <c r="IP1" i="9"/>
  <c r="IW1" i="9"/>
  <c r="IG1" i="9"/>
  <c r="IN1" i="9"/>
  <c r="IY1" i="9"/>
  <c r="II1" i="9"/>
  <c r="IX1" i="9"/>
  <c r="IH1" i="9"/>
  <c r="IO1" i="9"/>
  <c r="IV1" i="9"/>
  <c r="IF1" i="9"/>
  <c r="IQ1" i="9"/>
  <c r="IL1" i="9"/>
  <c r="IZ1" i="9"/>
  <c r="IU1" i="9"/>
  <c r="JB1" i="9"/>
  <c r="IS1" i="9"/>
  <c r="IJ1" i="9"/>
  <c r="IE1" i="9"/>
  <c r="IK1" i="9"/>
  <c r="IR1" i="9"/>
  <c r="JA1" i="9"/>
  <c r="IT1" i="9"/>
  <c r="JC1" i="9"/>
  <c r="IM1" i="9"/>
  <c r="D18" i="8"/>
  <c r="KE9" i="9"/>
  <c r="C25" i="9"/>
  <c r="GG19" i="9"/>
  <c r="GG35" i="9"/>
  <c r="GG33" i="9"/>
  <c r="GG39" i="9"/>
  <c r="GG25" i="9"/>
  <c r="GG28" i="9"/>
  <c r="GG17" i="9"/>
  <c r="GG15" i="9"/>
  <c r="GG30" i="9"/>
  <c r="GG34" i="9"/>
  <c r="GG22" i="9"/>
  <c r="GG36" i="9"/>
  <c r="GG14" i="9"/>
  <c r="GG37" i="9"/>
  <c r="GG41" i="9"/>
  <c r="GG31" i="9"/>
  <c r="GG29" i="9"/>
  <c r="GG24" i="9"/>
  <c r="GG40" i="9"/>
  <c r="GG42" i="9"/>
  <c r="GG26" i="9"/>
  <c r="GG43" i="9"/>
  <c r="GG16" i="9"/>
  <c r="GG21" i="9"/>
  <c r="GG20" i="9"/>
  <c r="GG23" i="9"/>
  <c r="GG27" i="9"/>
  <c r="GG18" i="9"/>
  <c r="GG44" i="9"/>
  <c r="GG38" i="9"/>
  <c r="GG32" i="9"/>
  <c r="FI43" i="9"/>
  <c r="FH75" i="9" s="1"/>
  <c r="FI75" i="9" s="1"/>
  <c r="FG43" i="9"/>
  <c r="FG44" i="9"/>
  <c r="FI44" i="9"/>
  <c r="FJ44" i="9" s="1"/>
  <c r="FL76" i="9" s="1"/>
  <c r="FG20" i="9"/>
  <c r="FI20" i="9"/>
  <c r="FH52" i="9" s="1"/>
  <c r="FI52" i="9" s="1"/>
  <c r="FG35" i="9"/>
  <c r="FI35" i="9"/>
  <c r="FH67" i="9" s="1"/>
  <c r="FI67" i="9" s="1"/>
  <c r="FG32" i="9"/>
  <c r="FI32" i="9"/>
  <c r="FH64" i="9" s="1"/>
  <c r="FI64" i="9" s="1"/>
  <c r="FG30" i="9"/>
  <c r="FI30" i="9"/>
  <c r="FH62" i="9" s="1"/>
  <c r="FI62" i="9" s="1"/>
  <c r="FI34" i="9"/>
  <c r="FH66" i="9" s="1"/>
  <c r="FI66" i="9" s="1"/>
  <c r="FG34" i="9"/>
  <c r="FG37" i="9"/>
  <c r="FI37" i="9"/>
  <c r="FH69" i="9" s="1"/>
  <c r="FI69" i="9" s="1"/>
  <c r="EK30" i="9"/>
  <c r="EM62" i="9" s="1"/>
  <c r="FG28" i="9"/>
  <c r="FI28" i="9"/>
  <c r="FH60" i="9" s="1"/>
  <c r="FI60" i="9" s="1"/>
  <c r="FG24" i="9"/>
  <c r="FI24" i="9"/>
  <c r="FH56" i="9" s="1"/>
  <c r="FI56" i="9" s="1"/>
  <c r="FG41" i="9"/>
  <c r="FI41" i="9"/>
  <c r="FH73" i="9" s="1"/>
  <c r="FI73" i="9" s="1"/>
  <c r="FG14" i="9"/>
  <c r="FI14" i="9"/>
  <c r="FH46" i="9" s="1"/>
  <c r="FI46" i="9" s="1"/>
  <c r="FG25" i="9"/>
  <c r="FI25" i="9"/>
  <c r="FH57" i="9" s="1"/>
  <c r="FI57" i="9" s="1"/>
  <c r="FI40" i="9"/>
  <c r="FH72" i="9" s="1"/>
  <c r="FI72" i="9" s="1"/>
  <c r="FG40" i="9"/>
  <c r="FI33" i="9"/>
  <c r="FH65" i="9" s="1"/>
  <c r="FI65" i="9" s="1"/>
  <c r="FG33" i="9"/>
  <c r="F1" i="6"/>
  <c r="AC4" i="1"/>
  <c r="AC3" i="1"/>
  <c r="S9" i="24" l="1"/>
  <c r="S8" i="24"/>
  <c r="S10" i="24"/>
  <c r="T10" i="24" s="1"/>
  <c r="BY16" i="17"/>
  <c r="BT16" i="17" s="1"/>
  <c r="CP16" i="17"/>
  <c r="BI16" i="17"/>
  <c r="AV16" i="17" s="1"/>
  <c r="CG16" i="17"/>
  <c r="BH14" i="17"/>
  <c r="BJ14" i="17" s="1"/>
  <c r="BK14" i="17" s="1"/>
  <c r="AG18" i="16"/>
  <c r="F16" i="20" s="1"/>
  <c r="U18" i="4"/>
  <c r="KC10" i="9"/>
  <c r="H15" i="3"/>
  <c r="AA19" i="17" s="1"/>
  <c r="AW10" i="17"/>
  <c r="AX10" i="17" s="1"/>
  <c r="BF10" i="17"/>
  <c r="BG10" i="17" s="1"/>
  <c r="BC11" i="17"/>
  <c r="BD11" i="17" s="1"/>
  <c r="AT10" i="17"/>
  <c r="AU10" i="17" s="1"/>
  <c r="BC10" i="17"/>
  <c r="BD10" i="17" s="1"/>
  <c r="AZ11" i="17"/>
  <c r="BA11" i="17" s="1"/>
  <c r="AW11" i="17"/>
  <c r="AX11" i="17" s="1"/>
  <c r="BF11" i="17"/>
  <c r="BG11" i="17" s="1"/>
  <c r="DH17" i="17"/>
  <c r="DI17" i="17"/>
  <c r="AR12" i="17"/>
  <c r="AS12" i="17" s="1"/>
  <c r="W13" i="17"/>
  <c r="AM13" i="17"/>
  <c r="AD13" i="17"/>
  <c r="AJ13" i="17"/>
  <c r="AE13" i="17"/>
  <c r="AF13" i="17" s="1"/>
  <c r="AK13" i="17"/>
  <c r="AL13" i="17" s="1"/>
  <c r="AB13" i="17"/>
  <c r="AC13" i="17" s="1"/>
  <c r="AP13" i="17"/>
  <c r="AG13" i="17"/>
  <c r="AH13" i="17"/>
  <c r="AI13" i="17" s="1"/>
  <c r="AN13" i="17"/>
  <c r="AO13" i="17" s="1"/>
  <c r="BX11" i="17"/>
  <c r="BP11" i="17"/>
  <c r="BO12" i="17"/>
  <c r="BR12" i="17"/>
  <c r="BS12" i="17" s="1"/>
  <c r="BU12" i="17"/>
  <c r="BV12" i="17" s="1"/>
  <c r="BX10" i="17"/>
  <c r="BP10" i="17"/>
  <c r="U12" i="17"/>
  <c r="S12" i="17"/>
  <c r="CQ12" i="17"/>
  <c r="CS12" i="17" s="1"/>
  <c r="BH15" i="17"/>
  <c r="BJ15" i="17" s="1"/>
  <c r="BK15" i="17" s="1"/>
  <c r="BW15" i="17"/>
  <c r="BZ15" i="17" s="1"/>
  <c r="CA15" i="17" s="1"/>
  <c r="FJ47" i="9"/>
  <c r="EP49" i="9"/>
  <c r="C13" i="17" s="1"/>
  <c r="EQ47" i="9"/>
  <c r="AK13" i="4" s="1"/>
  <c r="EQ46" i="9"/>
  <c r="AJ13" i="4" s="1"/>
  <c r="EQ48" i="9"/>
  <c r="F13" i="17" s="1"/>
  <c r="EP47" i="9"/>
  <c r="AI13" i="4" s="1"/>
  <c r="EP46" i="9"/>
  <c r="AH13" i="4" s="1"/>
  <c r="EQ49" i="9"/>
  <c r="D13" i="17" s="1"/>
  <c r="EP48" i="9"/>
  <c r="E13" i="17" s="1"/>
  <c r="ER53" i="9"/>
  <c r="N13" i="17" s="1"/>
  <c r="EQ52" i="9"/>
  <c r="K13" i="17" s="1"/>
  <c r="ER54" i="9"/>
  <c r="P13" i="17" s="1"/>
  <c r="EQ53" i="9"/>
  <c r="M13" i="17" s="1"/>
  <c r="EQ54" i="9"/>
  <c r="O13" i="17" s="1"/>
  <c r="ER51" i="9"/>
  <c r="J13" i="17" s="1"/>
  <c r="EQ50" i="9"/>
  <c r="G13" i="17" s="1"/>
  <c r="ER52" i="9"/>
  <c r="L13" i="17" s="1"/>
  <c r="EQ51" i="9"/>
  <c r="I13" i="17" s="1"/>
  <c r="ER50" i="9"/>
  <c r="H13" i="17" s="1"/>
  <c r="Z18" i="8"/>
  <c r="AS18" i="16"/>
  <c r="AR18" i="16"/>
  <c r="AP17" i="16"/>
  <c r="CU17" i="17" s="1"/>
  <c r="CT17" i="17" s="1"/>
  <c r="T17" i="17" s="1"/>
  <c r="M18" i="8"/>
  <c r="AO18" i="16"/>
  <c r="AT17" i="16"/>
  <c r="L18" i="8"/>
  <c r="AN18" i="16"/>
  <c r="AT16" i="16"/>
  <c r="AM13" i="10"/>
  <c r="FJ37" i="9"/>
  <c r="FL69" i="9" s="1"/>
  <c r="FJ19" i="9"/>
  <c r="FL51" i="9" s="1"/>
  <c r="FJ36" i="9"/>
  <c r="FL68" i="9" s="1"/>
  <c r="FJ17" i="9"/>
  <c r="FL49" i="9" s="1"/>
  <c r="FJ24" i="9"/>
  <c r="FL56" i="9" s="1"/>
  <c r="FJ42" i="9"/>
  <c r="FL74" i="9" s="1"/>
  <c r="FJ33" i="9"/>
  <c r="FL65" i="9" s="1"/>
  <c r="FJ28" i="9"/>
  <c r="FL60" i="9" s="1"/>
  <c r="FJ43" i="9"/>
  <c r="FL75" i="9" s="1"/>
  <c r="FJ40" i="9"/>
  <c r="FL72" i="9" s="1"/>
  <c r="FJ22" i="9"/>
  <c r="FL54" i="9" s="1"/>
  <c r="FJ23" i="9"/>
  <c r="FL55" i="9" s="1"/>
  <c r="FJ26" i="9"/>
  <c r="FL58" i="9" s="1"/>
  <c r="FJ39" i="9"/>
  <c r="FL71" i="9" s="1"/>
  <c r="FJ38" i="9"/>
  <c r="FL70" i="9" s="1"/>
  <c r="FJ25" i="9"/>
  <c r="FL57" i="9" s="1"/>
  <c r="FJ41" i="9"/>
  <c r="FL73" i="9" s="1"/>
  <c r="FJ32" i="9"/>
  <c r="FL64" i="9" s="1"/>
  <c r="FJ16" i="9"/>
  <c r="FL48" i="9" s="1"/>
  <c r="FJ29" i="9"/>
  <c r="FL61" i="9" s="1"/>
  <c r="FJ35" i="9"/>
  <c r="FL67" i="9" s="1"/>
  <c r="FJ18" i="9"/>
  <c r="FL50" i="9" s="1"/>
  <c r="FJ31" i="9"/>
  <c r="FL63" i="9" s="1"/>
  <c r="FJ14" i="9"/>
  <c r="FL46" i="9" s="1"/>
  <c r="FJ30" i="9"/>
  <c r="FL62" i="9" s="1"/>
  <c r="FJ20" i="9"/>
  <c r="FL52" i="9" s="1"/>
  <c r="FJ27" i="9"/>
  <c r="FL59" i="9" s="1"/>
  <c r="FJ21" i="9"/>
  <c r="FL53" i="9" s="1"/>
  <c r="FJ34" i="9"/>
  <c r="FL66" i="9" s="1"/>
  <c r="FJ15" i="9"/>
  <c r="FL47" i="9" s="1"/>
  <c r="GF44" i="9"/>
  <c r="GH44" i="9"/>
  <c r="GG76" i="9" s="1"/>
  <c r="GH76" i="9" s="1"/>
  <c r="GF26" i="9"/>
  <c r="GH26" i="9"/>
  <c r="GG58" i="9" s="1"/>
  <c r="GH58" i="9" s="1"/>
  <c r="GH29" i="9"/>
  <c r="GG61" i="9" s="1"/>
  <c r="GH61" i="9" s="1"/>
  <c r="GF29" i="9"/>
  <c r="GF14" i="9"/>
  <c r="GH14" i="9"/>
  <c r="GG46" i="9" s="1"/>
  <c r="GH46" i="9" s="1"/>
  <c r="GF30" i="9"/>
  <c r="GH30" i="9"/>
  <c r="GG62" i="9" s="1"/>
  <c r="GH62" i="9" s="1"/>
  <c r="GH25" i="9"/>
  <c r="GG57" i="9" s="1"/>
  <c r="GH57" i="9" s="1"/>
  <c r="GF25" i="9"/>
  <c r="GF19" i="9"/>
  <c r="GH19" i="9"/>
  <c r="GG51" i="9" s="1"/>
  <c r="GH51" i="9" s="1"/>
  <c r="GF20" i="9"/>
  <c r="GH20" i="9"/>
  <c r="GG52" i="9" s="1"/>
  <c r="GH52" i="9" s="1"/>
  <c r="GH18" i="9"/>
  <c r="GG50" i="9" s="1"/>
  <c r="GH50" i="9" s="1"/>
  <c r="GF18" i="9"/>
  <c r="GF21" i="9"/>
  <c r="GH21" i="9"/>
  <c r="GG53" i="9" s="1"/>
  <c r="GH53" i="9" s="1"/>
  <c r="GF42" i="9"/>
  <c r="GH42" i="9"/>
  <c r="GG74" i="9" s="1"/>
  <c r="GH74" i="9" s="1"/>
  <c r="GF31" i="9"/>
  <c r="GH31" i="9"/>
  <c r="GG63" i="9" s="1"/>
  <c r="GH63" i="9" s="1"/>
  <c r="GH36" i="9"/>
  <c r="GG68" i="9" s="1"/>
  <c r="GH68" i="9" s="1"/>
  <c r="GF36" i="9"/>
  <c r="GH15" i="9"/>
  <c r="GG47" i="9" s="1"/>
  <c r="GH47" i="9" s="1"/>
  <c r="GF15" i="9"/>
  <c r="GF39" i="9"/>
  <c r="GH39" i="9"/>
  <c r="GG71" i="9" s="1"/>
  <c r="GH71" i="9" s="1"/>
  <c r="JH9" i="9"/>
  <c r="JI9" i="9" s="1"/>
  <c r="KA1" i="9"/>
  <c r="JK1" i="9"/>
  <c r="JR1" i="9"/>
  <c r="JY1" i="9"/>
  <c r="JI1" i="9"/>
  <c r="JT1" i="9"/>
  <c r="JD1" i="9"/>
  <c r="JS1" i="9"/>
  <c r="JZ1" i="9"/>
  <c r="JJ1" i="9"/>
  <c r="JQ1" i="9"/>
  <c r="KB1" i="9"/>
  <c r="JL1" i="9"/>
  <c r="JG1" i="9"/>
  <c r="JU1" i="9"/>
  <c r="JP1" i="9"/>
  <c r="JW1" i="9"/>
  <c r="JN1" i="9"/>
  <c r="JE1" i="9"/>
  <c r="JO1" i="9"/>
  <c r="JX1" i="9"/>
  <c r="JV1" i="9"/>
  <c r="JH1" i="9"/>
  <c r="JF1" i="9"/>
  <c r="JM1" i="9"/>
  <c r="GF32" i="9"/>
  <c r="GH32" i="9"/>
  <c r="GG64" i="9" s="1"/>
  <c r="GH64" i="9" s="1"/>
  <c r="GF27" i="9"/>
  <c r="GH27" i="9"/>
  <c r="GG59" i="9" s="1"/>
  <c r="GH59" i="9" s="1"/>
  <c r="GH16" i="9"/>
  <c r="GG48" i="9" s="1"/>
  <c r="GH48" i="9" s="1"/>
  <c r="GF16" i="9"/>
  <c r="GH40" i="9"/>
  <c r="GG72" i="9" s="1"/>
  <c r="GH72" i="9" s="1"/>
  <c r="GF40" i="9"/>
  <c r="GF41" i="9"/>
  <c r="GH41" i="9"/>
  <c r="GG73" i="9" s="1"/>
  <c r="GH73" i="9" s="1"/>
  <c r="GF22" i="9"/>
  <c r="GH22" i="9"/>
  <c r="GG54" i="9" s="1"/>
  <c r="GH54" i="9" s="1"/>
  <c r="GF17" i="9"/>
  <c r="GH17" i="9"/>
  <c r="GG49" i="9" s="1"/>
  <c r="GH49" i="9" s="1"/>
  <c r="GF33" i="9"/>
  <c r="GH33" i="9"/>
  <c r="GG65" i="9" s="1"/>
  <c r="GH65" i="9" s="1"/>
  <c r="FG6" i="18"/>
  <c r="KJ9" i="9"/>
  <c r="IE18" i="9"/>
  <c r="IE50" i="9" s="1"/>
  <c r="IF50" i="9" s="1"/>
  <c r="IE20" i="9"/>
  <c r="IE52" i="9" s="1"/>
  <c r="IF52" i="9" s="1"/>
  <c r="IE38" i="9"/>
  <c r="IE70" i="9" s="1"/>
  <c r="IF70" i="9" s="1"/>
  <c r="IE39" i="9"/>
  <c r="IE71" i="9" s="1"/>
  <c r="IF71" i="9" s="1"/>
  <c r="IE33" i="9"/>
  <c r="IE65" i="9" s="1"/>
  <c r="IF65" i="9" s="1"/>
  <c r="IE25" i="9"/>
  <c r="IE57" i="9" s="1"/>
  <c r="IF57" i="9" s="1"/>
  <c r="IE30" i="9"/>
  <c r="IE62" i="9" s="1"/>
  <c r="IF62" i="9" s="1"/>
  <c r="IE17" i="9"/>
  <c r="IE49" i="9" s="1"/>
  <c r="IF49" i="9" s="1"/>
  <c r="IE34" i="9"/>
  <c r="IE66" i="9" s="1"/>
  <c r="IF66" i="9" s="1"/>
  <c r="IE24" i="9"/>
  <c r="IE56" i="9" s="1"/>
  <c r="IF56" i="9" s="1"/>
  <c r="IE31" i="9"/>
  <c r="IE63" i="9" s="1"/>
  <c r="IF63" i="9" s="1"/>
  <c r="IE22" i="9"/>
  <c r="IE54" i="9" s="1"/>
  <c r="IF54" i="9" s="1"/>
  <c r="IE28" i="9"/>
  <c r="IE60" i="9" s="1"/>
  <c r="IF60" i="9" s="1"/>
  <c r="IE21" i="9"/>
  <c r="IE53" i="9" s="1"/>
  <c r="IF53" i="9" s="1"/>
  <c r="IE44" i="9"/>
  <c r="IE76" i="9" s="1"/>
  <c r="IF76" i="9" s="1"/>
  <c r="IE27" i="9"/>
  <c r="IE59" i="9" s="1"/>
  <c r="IF59" i="9" s="1"/>
  <c r="IE35" i="9"/>
  <c r="IE67" i="9" s="1"/>
  <c r="IF67" i="9" s="1"/>
  <c r="IE36" i="9"/>
  <c r="IE68" i="9" s="1"/>
  <c r="IF68" i="9" s="1"/>
  <c r="IE26" i="9"/>
  <c r="IE58" i="9" s="1"/>
  <c r="IF58" i="9" s="1"/>
  <c r="IE14" i="9"/>
  <c r="IE46" i="9" s="1"/>
  <c r="IF46" i="9" s="1"/>
  <c r="IE32" i="9"/>
  <c r="IE64" i="9" s="1"/>
  <c r="IF64" i="9" s="1"/>
  <c r="IE37" i="9"/>
  <c r="IE69" i="9" s="1"/>
  <c r="IF69" i="9" s="1"/>
  <c r="IE40" i="9"/>
  <c r="IE72" i="9" s="1"/>
  <c r="IF72" i="9" s="1"/>
  <c r="IE23" i="9"/>
  <c r="IE55" i="9" s="1"/>
  <c r="IF55" i="9" s="1"/>
  <c r="IE41" i="9"/>
  <c r="IE73" i="9" s="1"/>
  <c r="IF73" i="9" s="1"/>
  <c r="IE43" i="9"/>
  <c r="IE75" i="9" s="1"/>
  <c r="IF75" i="9" s="1"/>
  <c r="IE15" i="9"/>
  <c r="IE47" i="9" s="1"/>
  <c r="IF47" i="9" s="1"/>
  <c r="IE16" i="9"/>
  <c r="IE48" i="9" s="1"/>
  <c r="IF48" i="9" s="1"/>
  <c r="IE19" i="9"/>
  <c r="IE51" i="9" s="1"/>
  <c r="IF51" i="9" s="1"/>
  <c r="IE29" i="9"/>
  <c r="IE61" i="9" s="1"/>
  <c r="IF61" i="9" s="1"/>
  <c r="IE42" i="9"/>
  <c r="IE74" i="9" s="1"/>
  <c r="IF74" i="9" s="1"/>
  <c r="GH38" i="9"/>
  <c r="GG70" i="9" s="1"/>
  <c r="GH70" i="9" s="1"/>
  <c r="GF38" i="9"/>
  <c r="GH23" i="9"/>
  <c r="GG55" i="9" s="1"/>
  <c r="GH55" i="9" s="1"/>
  <c r="GF23" i="9"/>
  <c r="GH43" i="9"/>
  <c r="GG75" i="9" s="1"/>
  <c r="GH75" i="9" s="1"/>
  <c r="GF43" i="9"/>
  <c r="GH24" i="9"/>
  <c r="GG56" i="9" s="1"/>
  <c r="GH56" i="9" s="1"/>
  <c r="GF24" i="9"/>
  <c r="GF37" i="9"/>
  <c r="GH37" i="9"/>
  <c r="GG69" i="9" s="1"/>
  <c r="GH69" i="9" s="1"/>
  <c r="GH34" i="9"/>
  <c r="GG66" i="9" s="1"/>
  <c r="GH66" i="9" s="1"/>
  <c r="GF34" i="9"/>
  <c r="GF28" i="9"/>
  <c r="GH28" i="9"/>
  <c r="GG60" i="9" s="1"/>
  <c r="GH60" i="9" s="1"/>
  <c r="GF35" i="9"/>
  <c r="GH35" i="9"/>
  <c r="GG67" i="9" s="1"/>
  <c r="GH67" i="9" s="1"/>
  <c r="AG19" i="16"/>
  <c r="F17" i="20" s="1"/>
  <c r="T20" i="10"/>
  <c r="AC6" i="1"/>
  <c r="U11" i="24" l="1"/>
  <c r="W11" i="24"/>
  <c r="V11" i="24"/>
  <c r="S12" i="24"/>
  <c r="W10" i="24"/>
  <c r="U10" i="24"/>
  <c r="U12" i="24" s="1"/>
  <c r="U13" i="24" s="1"/>
  <c r="V10" i="24"/>
  <c r="V12" i="24" s="1"/>
  <c r="V13" i="24" s="1"/>
  <c r="S11" i="24"/>
  <c r="BQ16" i="17"/>
  <c r="BB16" i="17"/>
  <c r="AY16" i="17"/>
  <c r="BE16" i="17"/>
  <c r="U19" i="4"/>
  <c r="AO19" i="16"/>
  <c r="R19" i="17"/>
  <c r="E16" i="4"/>
  <c r="BH16" i="4" s="1"/>
  <c r="D16" i="4"/>
  <c r="BG16" i="4" s="1"/>
  <c r="C16" i="4"/>
  <c r="AJ16" i="4" s="1"/>
  <c r="G16" i="4"/>
  <c r="BJ16" i="4" s="1"/>
  <c r="B16" i="4"/>
  <c r="AH16" i="4" s="1"/>
  <c r="I16" i="4"/>
  <c r="BL16" i="4" s="1"/>
  <c r="AN19" i="16"/>
  <c r="Q19" i="17"/>
  <c r="P16" i="17"/>
  <c r="V16" i="17"/>
  <c r="C16" i="17"/>
  <c r="J16" i="17"/>
  <c r="I16" i="17"/>
  <c r="D16" i="17"/>
  <c r="M16" i="17"/>
  <c r="H16" i="17"/>
  <c r="G16" i="17"/>
  <c r="E16" i="17"/>
  <c r="S16" i="17" s="1"/>
  <c r="BB16" i="4"/>
  <c r="AA16" i="4"/>
  <c r="S13" i="17"/>
  <c r="BF13" i="17" s="1"/>
  <c r="BG13" i="17" s="1"/>
  <c r="AR13" i="17"/>
  <c r="AS13" i="17" s="1"/>
  <c r="BO13" i="17"/>
  <c r="BR13" i="17"/>
  <c r="BS13" i="17" s="1"/>
  <c r="BU13" i="17"/>
  <c r="BV13" i="17" s="1"/>
  <c r="FQ54" i="9"/>
  <c r="P14" i="17" s="1"/>
  <c r="V14" i="17"/>
  <c r="BX12" i="17"/>
  <c r="BP12" i="17"/>
  <c r="U13" i="17"/>
  <c r="BF12" i="17"/>
  <c r="BG12" i="17" s="1"/>
  <c r="AW12" i="17"/>
  <c r="AX12" i="17" s="1"/>
  <c r="AT12" i="17"/>
  <c r="AU12" i="17" s="1"/>
  <c r="BC12" i="17"/>
  <c r="BD12" i="17" s="1"/>
  <c r="AZ12" i="17"/>
  <c r="BA12" i="17" s="1"/>
  <c r="CQ13" i="17"/>
  <c r="CS13" i="17" s="1"/>
  <c r="BW16" i="17"/>
  <c r="BZ16" i="17" s="1"/>
  <c r="CA16" i="17" s="1"/>
  <c r="FP52" i="9"/>
  <c r="K14" i="17" s="1"/>
  <c r="FQ53" i="9"/>
  <c r="N14" i="17" s="1"/>
  <c r="FQ52" i="9"/>
  <c r="L14" i="17" s="1"/>
  <c r="FQ51" i="9"/>
  <c r="J14" i="17" s="1"/>
  <c r="FP50" i="9"/>
  <c r="G14" i="17" s="1"/>
  <c r="FP54" i="9"/>
  <c r="O14" i="17" s="1"/>
  <c r="FP53" i="9"/>
  <c r="M14" i="17" s="1"/>
  <c r="FQ50" i="9"/>
  <c r="H14" i="17" s="1"/>
  <c r="FP51" i="9"/>
  <c r="I14" i="17" s="1"/>
  <c r="IG47" i="9"/>
  <c r="IN50" i="9" s="1"/>
  <c r="GI47" i="9"/>
  <c r="V15" i="17" s="1"/>
  <c r="FO49" i="9"/>
  <c r="C14" i="17" s="1"/>
  <c r="FP49" i="9"/>
  <c r="D14" i="17" s="1"/>
  <c r="FO46" i="9"/>
  <c r="AH14" i="4" s="1"/>
  <c r="FP46" i="9"/>
  <c r="AJ14" i="4" s="1"/>
  <c r="FO47" i="9"/>
  <c r="AI14" i="4" s="1"/>
  <c r="FP47" i="9"/>
  <c r="AK14" i="4" s="1"/>
  <c r="FP48" i="9"/>
  <c r="F14" i="17" s="1"/>
  <c r="FO48" i="9"/>
  <c r="E14" i="17" s="1"/>
  <c r="N56" i="1"/>
  <c r="G56" i="1"/>
  <c r="P44" i="1"/>
  <c r="P39" i="1"/>
  <c r="P51" i="1"/>
  <c r="CA3" i="6"/>
  <c r="AT18" i="16"/>
  <c r="AP18" i="16"/>
  <c r="CU18" i="17" s="1"/>
  <c r="CT18" i="17" s="1"/>
  <c r="T18" i="17" s="1"/>
  <c r="AP19" i="16"/>
  <c r="CU19" i="17" s="1"/>
  <c r="CT19" i="17" s="1"/>
  <c r="T19" i="17" s="1"/>
  <c r="AS19" i="16"/>
  <c r="AR19" i="16"/>
  <c r="AM14" i="10"/>
  <c r="GI34" i="9"/>
  <c r="GK66" i="9" s="1"/>
  <c r="GI17" i="9"/>
  <c r="GK49" i="9" s="1"/>
  <c r="GI39" i="9"/>
  <c r="GK71" i="9" s="1"/>
  <c r="GI19" i="9"/>
  <c r="GK51" i="9" s="1"/>
  <c r="GI29" i="9"/>
  <c r="GK61" i="9" s="1"/>
  <c r="GI44" i="9"/>
  <c r="GK76" i="9" s="1"/>
  <c r="GI28" i="9"/>
  <c r="GK60" i="9" s="1"/>
  <c r="GI40" i="9"/>
  <c r="GK72" i="9" s="1"/>
  <c r="GI31" i="9"/>
  <c r="GK63" i="9" s="1"/>
  <c r="GI35" i="9"/>
  <c r="GK67" i="9" s="1"/>
  <c r="GI16" i="9"/>
  <c r="GK48" i="9" s="1"/>
  <c r="GI14" i="9"/>
  <c r="GK46" i="9" s="1"/>
  <c r="GI18" i="9"/>
  <c r="GK50" i="9" s="1"/>
  <c r="GI24" i="9"/>
  <c r="GK56" i="9" s="1"/>
  <c r="GI22" i="9"/>
  <c r="GK54" i="9" s="1"/>
  <c r="GI43" i="9"/>
  <c r="GK75" i="9" s="1"/>
  <c r="GI38" i="9"/>
  <c r="GK70" i="9" s="1"/>
  <c r="GI33" i="9"/>
  <c r="GK65" i="9" s="1"/>
  <c r="GI41" i="9"/>
  <c r="GK73" i="9" s="1"/>
  <c r="GI20" i="9"/>
  <c r="GK52" i="9" s="1"/>
  <c r="GI26" i="9"/>
  <c r="GK58" i="9" s="1"/>
  <c r="GI23" i="9"/>
  <c r="GK55" i="9" s="1"/>
  <c r="GI27" i="9"/>
  <c r="GK59" i="9" s="1"/>
  <c r="GI15" i="9"/>
  <c r="GK47" i="9" s="1"/>
  <c r="GI42" i="9"/>
  <c r="GK74" i="9" s="1"/>
  <c r="GI32" i="9"/>
  <c r="GK64" i="9" s="1"/>
  <c r="GI36" i="9"/>
  <c r="GK68" i="9" s="1"/>
  <c r="GI21" i="9"/>
  <c r="GK53" i="9" s="1"/>
  <c r="GI30" i="9"/>
  <c r="GK62" i="9" s="1"/>
  <c r="GI37" i="9"/>
  <c r="GK69" i="9" s="1"/>
  <c r="GI25" i="9"/>
  <c r="GK57" i="9" s="1"/>
  <c r="IF42" i="9"/>
  <c r="ID42" i="9"/>
  <c r="IG42" i="9"/>
  <c r="II74" i="9" s="1"/>
  <c r="ID26" i="9"/>
  <c r="IF26" i="9"/>
  <c r="IG26" i="9"/>
  <c r="II58" i="9" s="1"/>
  <c r="ID31" i="9"/>
  <c r="IF31" i="9"/>
  <c r="IG31" i="9"/>
  <c r="II63" i="9" s="1"/>
  <c r="ID38" i="9"/>
  <c r="IF38" i="9"/>
  <c r="IG38" i="9"/>
  <c r="II70" i="9" s="1"/>
  <c r="ID40" i="9"/>
  <c r="IF40" i="9"/>
  <c r="IG40" i="9"/>
  <c r="II72" i="9" s="1"/>
  <c r="IF30" i="9"/>
  <c r="ID30" i="9"/>
  <c r="IG30" i="9"/>
  <c r="II62" i="9" s="1"/>
  <c r="ID29" i="9"/>
  <c r="IF29" i="9"/>
  <c r="IG29" i="9" s="1"/>
  <c r="II61" i="9" s="1"/>
  <c r="ID43" i="9"/>
  <c r="IF43" i="9"/>
  <c r="IG43" i="9"/>
  <c r="II75" i="9" s="1"/>
  <c r="IF37" i="9"/>
  <c r="ID37" i="9"/>
  <c r="IG37" i="9"/>
  <c r="II69" i="9" s="1"/>
  <c r="IF36" i="9"/>
  <c r="ID36" i="9"/>
  <c r="IG36" i="9"/>
  <c r="II68" i="9" s="1"/>
  <c r="IF21" i="9"/>
  <c r="ID21" i="9"/>
  <c r="IG21" i="9"/>
  <c r="II53" i="9" s="1"/>
  <c r="ID24" i="9"/>
  <c r="IF24" i="9"/>
  <c r="IG24" i="9"/>
  <c r="II56" i="9" s="1"/>
  <c r="IF25" i="9"/>
  <c r="ID25" i="9"/>
  <c r="IG25" i="9"/>
  <c r="II57" i="9" s="1"/>
  <c r="IF20" i="9"/>
  <c r="ID20" i="9"/>
  <c r="IG20" i="9"/>
  <c r="II52" i="9" s="1"/>
  <c r="IF15" i="9"/>
  <c r="ID15" i="9"/>
  <c r="IG15" i="9"/>
  <c r="II47" i="9" s="1"/>
  <c r="IF44" i="9"/>
  <c r="ID44" i="9"/>
  <c r="IG44" i="9"/>
  <c r="II76" i="9" s="1"/>
  <c r="IF19" i="9"/>
  <c r="ID19" i="9"/>
  <c r="IG19" i="9"/>
  <c r="II51" i="9" s="1"/>
  <c r="ID41" i="9"/>
  <c r="IF41" i="9"/>
  <c r="IG41" i="9"/>
  <c r="II73" i="9" s="1"/>
  <c r="ID32" i="9"/>
  <c r="IF32" i="9"/>
  <c r="IG32" i="9"/>
  <c r="II64" i="9" s="1"/>
  <c r="IF35" i="9"/>
  <c r="ID35" i="9"/>
  <c r="IG35" i="9"/>
  <c r="II67" i="9" s="1"/>
  <c r="IF28" i="9"/>
  <c r="ID28" i="9"/>
  <c r="IG28" i="9"/>
  <c r="II60" i="9" s="1"/>
  <c r="IF34" i="9"/>
  <c r="ID34" i="9"/>
  <c r="IG34" i="9"/>
  <c r="II66" i="9" s="1"/>
  <c r="IF33" i="9"/>
  <c r="ID33" i="9"/>
  <c r="IG33" i="9"/>
  <c r="II65" i="9" s="1"/>
  <c r="IF18" i="9"/>
  <c r="ID18" i="9"/>
  <c r="IG18" i="9"/>
  <c r="II50" i="9" s="1"/>
  <c r="JD41" i="9"/>
  <c r="JD73" i="9" s="1"/>
  <c r="JE73" i="9" s="1"/>
  <c r="JD26" i="9"/>
  <c r="JD58" i="9" s="1"/>
  <c r="JE58" i="9" s="1"/>
  <c r="JD35" i="9"/>
  <c r="JD67" i="9" s="1"/>
  <c r="JE67" i="9" s="1"/>
  <c r="JD33" i="9"/>
  <c r="JD65" i="9" s="1"/>
  <c r="JE65" i="9" s="1"/>
  <c r="JD36" i="9"/>
  <c r="JD68" i="9" s="1"/>
  <c r="JE68" i="9" s="1"/>
  <c r="JD42" i="9"/>
  <c r="JD74" i="9" s="1"/>
  <c r="JE74" i="9" s="1"/>
  <c r="JD18" i="9"/>
  <c r="JD50" i="9" s="1"/>
  <c r="JE50" i="9" s="1"/>
  <c r="JD28" i="9"/>
  <c r="JD60" i="9" s="1"/>
  <c r="JE60" i="9" s="1"/>
  <c r="JD24" i="9"/>
  <c r="JD56" i="9" s="1"/>
  <c r="JE56" i="9" s="1"/>
  <c r="JD40" i="9"/>
  <c r="JD72" i="9" s="1"/>
  <c r="JE72" i="9" s="1"/>
  <c r="JD15" i="9"/>
  <c r="JD47" i="9" s="1"/>
  <c r="JE47" i="9" s="1"/>
  <c r="JD32" i="9"/>
  <c r="JD64" i="9" s="1"/>
  <c r="JE64" i="9" s="1"/>
  <c r="JD21" i="9"/>
  <c r="JD53" i="9" s="1"/>
  <c r="JE53" i="9" s="1"/>
  <c r="JD17" i="9"/>
  <c r="JD49" i="9" s="1"/>
  <c r="JE49" i="9" s="1"/>
  <c r="JD27" i="9"/>
  <c r="JD59" i="9" s="1"/>
  <c r="JE59" i="9" s="1"/>
  <c r="JD44" i="9"/>
  <c r="JD76" i="9" s="1"/>
  <c r="JE76" i="9" s="1"/>
  <c r="JD38" i="9"/>
  <c r="JD70" i="9" s="1"/>
  <c r="JE70" i="9" s="1"/>
  <c r="JD20" i="9"/>
  <c r="JD52" i="9" s="1"/>
  <c r="JE52" i="9" s="1"/>
  <c r="JD43" i="9"/>
  <c r="JD75" i="9" s="1"/>
  <c r="JE75" i="9" s="1"/>
  <c r="JD22" i="9"/>
  <c r="JD54" i="9" s="1"/>
  <c r="JE54" i="9" s="1"/>
  <c r="JD31" i="9"/>
  <c r="JD63" i="9" s="1"/>
  <c r="JE63" i="9" s="1"/>
  <c r="JD23" i="9"/>
  <c r="JD55" i="9" s="1"/>
  <c r="JE55" i="9" s="1"/>
  <c r="JD14" i="9"/>
  <c r="JD46" i="9" s="1"/>
  <c r="JE46" i="9" s="1"/>
  <c r="JD25" i="9"/>
  <c r="JD57" i="9" s="1"/>
  <c r="JE57" i="9" s="1"/>
  <c r="JD16" i="9"/>
  <c r="JD48" i="9" s="1"/>
  <c r="JE48" i="9" s="1"/>
  <c r="JD19" i="9"/>
  <c r="JD51" i="9" s="1"/>
  <c r="JE51" i="9" s="1"/>
  <c r="JD30" i="9"/>
  <c r="JD62" i="9" s="1"/>
  <c r="JE62" i="9" s="1"/>
  <c r="JD29" i="9"/>
  <c r="JD61" i="9" s="1"/>
  <c r="JE61" i="9" s="1"/>
  <c r="JD39" i="9"/>
  <c r="JD71" i="9" s="1"/>
  <c r="JE71" i="9" s="1"/>
  <c r="JD37" i="9"/>
  <c r="JD69" i="9" s="1"/>
  <c r="JE69" i="9" s="1"/>
  <c r="JD34" i="9"/>
  <c r="JD66" i="9" s="1"/>
  <c r="JE66" i="9" s="1"/>
  <c r="IF16" i="9"/>
  <c r="ID16" i="9"/>
  <c r="IG16" i="9"/>
  <c r="II48" i="9" s="1"/>
  <c r="ID23" i="9"/>
  <c r="IF23" i="9"/>
  <c r="IG23" i="9"/>
  <c r="II55" i="9" s="1"/>
  <c r="ID14" i="9"/>
  <c r="IF14" i="9"/>
  <c r="IG14" i="9"/>
  <c r="II46" i="9" s="1"/>
  <c r="ID27" i="9"/>
  <c r="IF27" i="9"/>
  <c r="IG27" i="9"/>
  <c r="II59" i="9" s="1"/>
  <c r="IF22" i="9"/>
  <c r="ID22" i="9"/>
  <c r="IG22" i="9"/>
  <c r="II54" i="9" s="1"/>
  <c r="IF17" i="9"/>
  <c r="ID17" i="9"/>
  <c r="IG17" i="9"/>
  <c r="II49" i="9" s="1"/>
  <c r="IF39" i="9"/>
  <c r="ID39" i="9"/>
  <c r="IG39" i="9"/>
  <c r="II71" i="9" s="1"/>
  <c r="KG9" i="9"/>
  <c r="KH9" i="9" s="1"/>
  <c r="KV1" i="9"/>
  <c r="KF1" i="9"/>
  <c r="KM1" i="9"/>
  <c r="KT1" i="9"/>
  <c r="KD1" i="9"/>
  <c r="KO1" i="9"/>
  <c r="KN1" i="9"/>
  <c r="KU1" i="9"/>
  <c r="KE1" i="9"/>
  <c r="KL1" i="9"/>
  <c r="KW1" i="9"/>
  <c r="KG1" i="9"/>
  <c r="KY1" i="9"/>
  <c r="KP1" i="9"/>
  <c r="KK1" i="9"/>
  <c r="KR1" i="9"/>
  <c r="KI1" i="9"/>
  <c r="LA1" i="9"/>
  <c r="KX1" i="9"/>
  <c r="KZ1" i="9"/>
  <c r="KH1" i="9"/>
  <c r="KC1" i="9"/>
  <c r="KJ1" i="9"/>
  <c r="KS1" i="9"/>
  <c r="KQ1" i="9"/>
  <c r="G1" i="6"/>
  <c r="S13" i="24" l="1"/>
  <c r="W12" i="24"/>
  <c r="W13" i="24" s="1"/>
  <c r="BH16" i="17"/>
  <c r="BJ16" i="17" s="1"/>
  <c r="BK16" i="17" s="1"/>
  <c r="AK16" i="4"/>
  <c r="AI16" i="4"/>
  <c r="U16" i="17"/>
  <c r="CQ16" i="17"/>
  <c r="CS16" i="17" s="1"/>
  <c r="BR16" i="17"/>
  <c r="BS16" i="17" s="1"/>
  <c r="BU16" i="17"/>
  <c r="BV16" i="17" s="1"/>
  <c r="BO16" i="17"/>
  <c r="AW16" i="17"/>
  <c r="AX16" i="17" s="1"/>
  <c r="BF16" i="17"/>
  <c r="BG16" i="17" s="1"/>
  <c r="AZ16" i="17"/>
  <c r="BA16" i="17" s="1"/>
  <c r="BC16" i="17"/>
  <c r="BD16" i="17" s="1"/>
  <c r="AT16" i="17"/>
  <c r="AU16" i="17" s="1"/>
  <c r="AP16" i="17"/>
  <c r="AN16" i="17"/>
  <c r="AO16" i="17" s="1"/>
  <c r="AK16" i="17"/>
  <c r="AL16" i="17" s="1"/>
  <c r="AG16" i="17"/>
  <c r="AE16" i="17"/>
  <c r="AF16" i="17" s="1"/>
  <c r="AB16" i="17"/>
  <c r="AC16" i="17" s="1"/>
  <c r="AM16" i="17"/>
  <c r="AD16" i="17"/>
  <c r="W16" i="17"/>
  <c r="AH16" i="17"/>
  <c r="AI16" i="17" s="1"/>
  <c r="AJ16" i="17"/>
  <c r="AW13" i="17"/>
  <c r="AX13" i="17" s="1"/>
  <c r="AZ13" i="17"/>
  <c r="BA13" i="17" s="1"/>
  <c r="BC13" i="17"/>
  <c r="BD13" i="17" s="1"/>
  <c r="AT13" i="17"/>
  <c r="AU13" i="17" s="1"/>
  <c r="W15" i="17"/>
  <c r="AK15" i="17"/>
  <c r="AL15" i="17" s="1"/>
  <c r="AB15" i="17"/>
  <c r="AC15" i="17" s="1"/>
  <c r="AH15" i="17"/>
  <c r="AI15" i="17" s="1"/>
  <c r="AG15" i="17"/>
  <c r="AM15" i="17"/>
  <c r="AD15" i="17"/>
  <c r="AN15" i="17"/>
  <c r="AO15" i="17" s="1"/>
  <c r="AE15" i="17"/>
  <c r="AF15" i="17" s="1"/>
  <c r="AJ15" i="17"/>
  <c r="AP15" i="17"/>
  <c r="W14" i="17"/>
  <c r="AB14" i="17"/>
  <c r="AC14" i="17" s="1"/>
  <c r="AH14" i="17"/>
  <c r="AI14" i="17" s="1"/>
  <c r="AM14" i="17"/>
  <c r="AD14" i="17"/>
  <c r="AN14" i="17"/>
  <c r="AO14" i="17" s="1"/>
  <c r="AE14" i="17"/>
  <c r="AF14" i="17" s="1"/>
  <c r="AK14" i="17"/>
  <c r="AL14" i="17" s="1"/>
  <c r="AJ14" i="17"/>
  <c r="AP14" i="17"/>
  <c r="AG14" i="17"/>
  <c r="S14" i="17"/>
  <c r="BC14" i="17" s="1"/>
  <c r="BD14" i="17" s="1"/>
  <c r="U14" i="17"/>
  <c r="BO14" i="17"/>
  <c r="BR14" i="17"/>
  <c r="BS14" i="17" s="1"/>
  <c r="BU14" i="17"/>
  <c r="BV14" i="17" s="1"/>
  <c r="BP13" i="17"/>
  <c r="BX13" i="17"/>
  <c r="CQ14" i="17"/>
  <c r="CS14" i="17" s="1"/>
  <c r="IM52" i="9"/>
  <c r="IN54" i="9"/>
  <c r="IM51" i="9"/>
  <c r="IM50" i="9"/>
  <c r="IM54" i="9"/>
  <c r="IN52" i="9"/>
  <c r="IN51" i="9"/>
  <c r="IN53" i="9"/>
  <c r="IM53" i="9"/>
  <c r="GO48" i="9"/>
  <c r="F15" i="17" s="1"/>
  <c r="GO49" i="9"/>
  <c r="D15" i="17" s="1"/>
  <c r="GN48" i="9"/>
  <c r="E15" i="17" s="1"/>
  <c r="GO47" i="9"/>
  <c r="AK15" i="4" s="1"/>
  <c r="GO46" i="9"/>
  <c r="AJ15" i="4" s="1"/>
  <c r="GN49" i="9"/>
  <c r="C15" i="17" s="1"/>
  <c r="GN47" i="9"/>
  <c r="AI15" i="4" s="1"/>
  <c r="GN46" i="9"/>
  <c r="AH15" i="4" s="1"/>
  <c r="IL49" i="9"/>
  <c r="IM47" i="9"/>
  <c r="IM46" i="9"/>
  <c r="IM48" i="9"/>
  <c r="IL47" i="9"/>
  <c r="IL46" i="9"/>
  <c r="IM49" i="9"/>
  <c r="IL48" i="9"/>
  <c r="JF47" i="9"/>
  <c r="GP54" i="9"/>
  <c r="P15" i="17" s="1"/>
  <c r="GO54" i="9"/>
  <c r="O15" i="17" s="1"/>
  <c r="GP51" i="9"/>
  <c r="J15" i="17" s="1"/>
  <c r="GP52" i="9"/>
  <c r="L15" i="17" s="1"/>
  <c r="GO51" i="9"/>
  <c r="I15" i="17" s="1"/>
  <c r="GP53" i="9"/>
  <c r="N15" i="17" s="1"/>
  <c r="GO52" i="9"/>
  <c r="K15" i="17" s="1"/>
  <c r="GO53" i="9"/>
  <c r="M15" i="17" s="1"/>
  <c r="GP50" i="9"/>
  <c r="H15" i="17" s="1"/>
  <c r="GO50" i="9"/>
  <c r="G15" i="17" s="1"/>
  <c r="BX19" i="6"/>
  <c r="BB19" i="6"/>
  <c r="BZ17" i="6"/>
  <c r="CA17" i="6" s="1"/>
  <c r="U14" i="6"/>
  <c r="BR19" i="6"/>
  <c r="AY19" i="6"/>
  <c r="BZ16" i="6"/>
  <c r="CA16" i="6" s="1"/>
  <c r="CB16" i="6" s="1"/>
  <c r="BE19" i="6"/>
  <c r="BO19" i="6"/>
  <c r="BZ18" i="6"/>
  <c r="CA18" i="6" s="1"/>
  <c r="M19" i="6"/>
  <c r="J19" i="6"/>
  <c r="BL19" i="6"/>
  <c r="BZ24" i="6"/>
  <c r="AT19" i="16"/>
  <c r="AM15" i="10"/>
  <c r="KC37" i="9"/>
  <c r="KC69" i="9" s="1"/>
  <c r="KD69" i="9" s="1"/>
  <c r="KC43" i="9"/>
  <c r="KC75" i="9" s="1"/>
  <c r="KD75" i="9" s="1"/>
  <c r="KC36" i="9"/>
  <c r="KC68" i="9" s="1"/>
  <c r="KD68" i="9" s="1"/>
  <c r="KC16" i="9"/>
  <c r="KC48" i="9" s="1"/>
  <c r="KD48" i="9" s="1"/>
  <c r="KC40" i="9"/>
  <c r="KC72" i="9" s="1"/>
  <c r="KD72" i="9" s="1"/>
  <c r="KC33" i="9"/>
  <c r="KC65" i="9" s="1"/>
  <c r="KD65" i="9" s="1"/>
  <c r="KC22" i="9"/>
  <c r="KC54" i="9" s="1"/>
  <c r="KD54" i="9" s="1"/>
  <c r="KC19" i="9"/>
  <c r="KC51" i="9" s="1"/>
  <c r="KD51" i="9" s="1"/>
  <c r="KC25" i="9"/>
  <c r="KC57" i="9" s="1"/>
  <c r="KD57" i="9" s="1"/>
  <c r="KC42" i="9"/>
  <c r="KC74" i="9" s="1"/>
  <c r="KD74" i="9" s="1"/>
  <c r="KC38" i="9"/>
  <c r="KC70" i="9" s="1"/>
  <c r="KD70" i="9" s="1"/>
  <c r="KC28" i="9"/>
  <c r="KC60" i="9" s="1"/>
  <c r="KD60" i="9" s="1"/>
  <c r="KC14" i="9"/>
  <c r="KC46" i="9" s="1"/>
  <c r="KD46" i="9" s="1"/>
  <c r="KC27" i="9"/>
  <c r="KC59" i="9" s="1"/>
  <c r="KD59" i="9" s="1"/>
  <c r="KC44" i="9"/>
  <c r="KC76" i="9" s="1"/>
  <c r="KD76" i="9" s="1"/>
  <c r="KC21" i="9"/>
  <c r="KC53" i="9" s="1"/>
  <c r="KD53" i="9" s="1"/>
  <c r="KC35" i="9"/>
  <c r="KC67" i="9" s="1"/>
  <c r="KD67" i="9" s="1"/>
  <c r="KC23" i="9"/>
  <c r="KC55" i="9" s="1"/>
  <c r="KD55" i="9" s="1"/>
  <c r="KC26" i="9"/>
  <c r="KC58" i="9" s="1"/>
  <c r="KD58" i="9" s="1"/>
  <c r="KC34" i="9"/>
  <c r="KC66" i="9" s="1"/>
  <c r="KD66" i="9" s="1"/>
  <c r="KC32" i="9"/>
  <c r="KC64" i="9" s="1"/>
  <c r="KD64" i="9" s="1"/>
  <c r="KC29" i="9"/>
  <c r="KC61" i="9" s="1"/>
  <c r="KD61" i="9" s="1"/>
  <c r="KC17" i="9"/>
  <c r="KC49" i="9" s="1"/>
  <c r="KD49" i="9" s="1"/>
  <c r="KC18" i="9"/>
  <c r="KC50" i="9" s="1"/>
  <c r="KD50" i="9" s="1"/>
  <c r="KC15" i="9"/>
  <c r="KC47" i="9" s="1"/>
  <c r="KD47" i="9" s="1"/>
  <c r="KC24" i="9"/>
  <c r="KC56" i="9" s="1"/>
  <c r="KD56" i="9" s="1"/>
  <c r="KC41" i="9"/>
  <c r="KC73" i="9" s="1"/>
  <c r="KD73" i="9" s="1"/>
  <c r="KC31" i="9"/>
  <c r="KC63" i="9" s="1"/>
  <c r="KD63" i="9" s="1"/>
  <c r="KC30" i="9"/>
  <c r="KC62" i="9" s="1"/>
  <c r="KD62" i="9" s="1"/>
  <c r="KC39" i="9"/>
  <c r="KC71" i="9" s="1"/>
  <c r="KD71" i="9" s="1"/>
  <c r="KC20" i="9"/>
  <c r="KC52" i="9" s="1"/>
  <c r="KD52" i="9" s="1"/>
  <c r="JE39" i="9"/>
  <c r="JC39" i="9"/>
  <c r="JF39" i="9"/>
  <c r="JH71" i="9" s="1"/>
  <c r="JC16" i="9"/>
  <c r="JE16" i="9"/>
  <c r="JF16" i="9"/>
  <c r="JH48" i="9" s="1"/>
  <c r="JE31" i="9"/>
  <c r="JC31" i="9"/>
  <c r="JF31" i="9"/>
  <c r="JH63" i="9" s="1"/>
  <c r="JC38" i="9"/>
  <c r="JE38" i="9"/>
  <c r="JF38" i="9"/>
  <c r="JH70" i="9" s="1"/>
  <c r="JC21" i="9"/>
  <c r="JE21" i="9"/>
  <c r="JF21" i="9"/>
  <c r="JH53" i="9" s="1"/>
  <c r="JE24" i="9"/>
  <c r="JC24" i="9"/>
  <c r="JF24" i="9"/>
  <c r="JH56" i="9" s="1"/>
  <c r="JE36" i="9"/>
  <c r="JC36" i="9"/>
  <c r="JF36" i="9"/>
  <c r="JH68" i="9" s="1"/>
  <c r="JC41" i="9"/>
  <c r="JE41" i="9"/>
  <c r="JF41" i="9"/>
  <c r="JH73" i="9" s="1"/>
  <c r="JC29" i="9"/>
  <c r="JE29" i="9"/>
  <c r="JF29" i="9"/>
  <c r="JH61" i="9" s="1"/>
  <c r="JC25" i="9"/>
  <c r="JE25" i="9"/>
  <c r="JF25" i="9"/>
  <c r="JH57" i="9" s="1"/>
  <c r="JC22" i="9"/>
  <c r="JE22" i="9"/>
  <c r="JF22" i="9"/>
  <c r="JH54" i="9" s="1"/>
  <c r="JE44" i="9"/>
  <c r="JC44" i="9"/>
  <c r="JF44" i="9" s="1"/>
  <c r="JH76" i="9" s="1"/>
  <c r="JC32" i="9"/>
  <c r="JE32" i="9"/>
  <c r="JF32" i="9"/>
  <c r="JH64" i="9" s="1"/>
  <c r="JE28" i="9"/>
  <c r="JC28" i="9"/>
  <c r="JF28" i="9"/>
  <c r="JH60" i="9" s="1"/>
  <c r="JC33" i="9"/>
  <c r="JE33" i="9"/>
  <c r="JF33" i="9"/>
  <c r="JH65" i="9" s="1"/>
  <c r="JE34" i="9"/>
  <c r="JC34" i="9"/>
  <c r="JF34" i="9"/>
  <c r="JH66" i="9" s="1"/>
  <c r="JC30" i="9"/>
  <c r="JE30" i="9"/>
  <c r="JF30" i="9"/>
  <c r="JH62" i="9" s="1"/>
  <c r="JC14" i="9"/>
  <c r="JE14" i="9"/>
  <c r="JF14" i="9"/>
  <c r="JH46" i="9" s="1"/>
  <c r="JE43" i="9"/>
  <c r="JC43" i="9"/>
  <c r="JF43" i="9"/>
  <c r="JH75" i="9" s="1"/>
  <c r="JC27" i="9"/>
  <c r="JE27" i="9"/>
  <c r="JF27" i="9"/>
  <c r="JH59" i="9" s="1"/>
  <c r="JE15" i="9"/>
  <c r="JC15" i="9"/>
  <c r="JF15" i="9"/>
  <c r="JH47" i="9" s="1"/>
  <c r="JE18" i="9"/>
  <c r="JC18" i="9"/>
  <c r="JF18" i="9"/>
  <c r="JH50" i="9" s="1"/>
  <c r="JE35" i="9"/>
  <c r="JC35" i="9"/>
  <c r="JF35" i="9"/>
  <c r="JH67" i="9" s="1"/>
  <c r="JE37" i="9"/>
  <c r="JC37" i="9"/>
  <c r="JF37" i="9"/>
  <c r="JH69" i="9" s="1"/>
  <c r="JE19" i="9"/>
  <c r="JC19" i="9"/>
  <c r="JF19" i="9"/>
  <c r="JH51" i="9" s="1"/>
  <c r="JC23" i="9"/>
  <c r="JE23" i="9"/>
  <c r="JF23" i="9"/>
  <c r="JH55" i="9" s="1"/>
  <c r="JE20" i="9"/>
  <c r="JC20" i="9"/>
  <c r="JF20" i="9"/>
  <c r="JH52" i="9" s="1"/>
  <c r="JC17" i="9"/>
  <c r="JE17" i="9"/>
  <c r="JF17" i="9"/>
  <c r="JH49" i="9" s="1"/>
  <c r="JE40" i="9"/>
  <c r="JC40" i="9"/>
  <c r="JF40" i="9"/>
  <c r="JH72" i="9" s="1"/>
  <c r="JC42" i="9"/>
  <c r="JE42" i="9"/>
  <c r="JF42" i="9"/>
  <c r="JH74" i="9" s="1"/>
  <c r="JE26" i="9"/>
  <c r="JC26" i="9"/>
  <c r="JF26" i="9"/>
  <c r="JH58" i="9" s="1"/>
  <c r="AI44" i="1"/>
  <c r="AI47" i="1"/>
  <c r="AM17" i="10" l="1"/>
  <c r="AR16" i="17"/>
  <c r="AS16" i="17" s="1"/>
  <c r="BP16" i="17"/>
  <c r="BX16" i="17"/>
  <c r="AR14" i="17"/>
  <c r="AS14" i="17" s="1"/>
  <c r="AR15" i="17"/>
  <c r="AS15" i="17" s="1"/>
  <c r="AZ14" i="17"/>
  <c r="BA14" i="17" s="1"/>
  <c r="U15" i="17"/>
  <c r="BF14" i="17"/>
  <c r="BG14" i="17" s="1"/>
  <c r="AT14" i="17"/>
  <c r="AU14" i="17" s="1"/>
  <c r="AW14" i="17"/>
  <c r="AX14" i="17" s="1"/>
  <c r="S15" i="17"/>
  <c r="BR15" i="17"/>
  <c r="BS15" i="17" s="1"/>
  <c r="BO15" i="17"/>
  <c r="BU15" i="17"/>
  <c r="BV15" i="17" s="1"/>
  <c r="BP14" i="17"/>
  <c r="BX14" i="17"/>
  <c r="CQ15" i="17"/>
  <c r="CS15" i="17" s="1"/>
  <c r="JL48" i="9"/>
  <c r="JL47" i="9"/>
  <c r="JL46" i="9"/>
  <c r="JL49" i="9"/>
  <c r="JK48" i="9"/>
  <c r="JK47" i="9"/>
  <c r="JK46" i="9"/>
  <c r="JK49" i="9"/>
  <c r="KE47" i="9"/>
  <c r="JM53" i="9"/>
  <c r="JM54" i="9"/>
  <c r="JL53" i="9"/>
  <c r="JM50" i="9"/>
  <c r="JL54" i="9"/>
  <c r="JM51" i="9"/>
  <c r="JL50" i="9"/>
  <c r="JM52" i="9"/>
  <c r="JL51" i="9"/>
  <c r="JL52" i="9"/>
  <c r="AG19" i="6"/>
  <c r="U19" i="6"/>
  <c r="AD19" i="6"/>
  <c r="R19" i="6"/>
  <c r="AA19" i="6"/>
  <c r="AJ19" i="6"/>
  <c r="X19" i="6"/>
  <c r="AM19" i="6"/>
  <c r="AS19" i="6"/>
  <c r="AP19" i="6"/>
  <c r="AV19" i="6"/>
  <c r="AM16" i="10"/>
  <c r="KB31" i="9"/>
  <c r="KD31" i="9"/>
  <c r="KE31" i="9"/>
  <c r="KG63" i="9" s="1"/>
  <c r="KB18" i="9"/>
  <c r="KD18" i="9"/>
  <c r="KE18" i="9"/>
  <c r="KG50" i="9" s="1"/>
  <c r="KD34" i="9"/>
  <c r="KB34" i="9"/>
  <c r="KE34" i="9"/>
  <c r="KG66" i="9" s="1"/>
  <c r="KD21" i="9"/>
  <c r="KB21" i="9"/>
  <c r="KE21" i="9"/>
  <c r="KG53" i="9" s="1"/>
  <c r="KB28" i="9"/>
  <c r="KD28" i="9"/>
  <c r="KE28" i="9"/>
  <c r="KG60" i="9" s="1"/>
  <c r="KD19" i="9"/>
  <c r="KB19" i="9"/>
  <c r="KE19" i="9"/>
  <c r="KG51" i="9" s="1"/>
  <c r="KB16" i="9"/>
  <c r="KD16" i="9"/>
  <c r="KE16" i="9"/>
  <c r="KG48" i="9" s="1"/>
  <c r="KD20" i="9"/>
  <c r="KB20" i="9"/>
  <c r="KE20" i="9"/>
  <c r="KG52" i="9" s="1"/>
  <c r="KB41" i="9"/>
  <c r="KD41" i="9"/>
  <c r="KE41" i="9"/>
  <c r="KG73" i="9" s="1"/>
  <c r="KB17" i="9"/>
  <c r="KD17" i="9"/>
  <c r="KE17" i="9"/>
  <c r="KG49" i="9" s="1"/>
  <c r="KD26" i="9"/>
  <c r="KB26" i="9"/>
  <c r="KE26" i="9"/>
  <c r="KG58" i="9" s="1"/>
  <c r="KB44" i="9"/>
  <c r="KD44" i="9"/>
  <c r="KE44" i="9"/>
  <c r="KG76" i="9" s="1"/>
  <c r="KB38" i="9"/>
  <c r="KD38" i="9"/>
  <c r="KE38" i="9"/>
  <c r="KG70" i="9" s="1"/>
  <c r="KD22" i="9"/>
  <c r="KB22" i="9"/>
  <c r="KE22" i="9"/>
  <c r="KG54" i="9" s="1"/>
  <c r="KD36" i="9"/>
  <c r="KB36" i="9"/>
  <c r="KE36" i="9"/>
  <c r="KG68" i="9" s="1"/>
  <c r="KD39" i="9"/>
  <c r="KB39" i="9"/>
  <c r="KE39" i="9"/>
  <c r="KG71" i="9" s="1"/>
  <c r="KB24" i="9"/>
  <c r="KD24" i="9"/>
  <c r="KE24" i="9"/>
  <c r="KG56" i="9" s="1"/>
  <c r="KB29" i="9"/>
  <c r="KD29" i="9"/>
  <c r="KE29" i="9"/>
  <c r="KG61" i="9" s="1"/>
  <c r="KB23" i="9"/>
  <c r="KD23" i="9"/>
  <c r="KE23" i="9"/>
  <c r="KG55" i="9" s="1"/>
  <c r="KD27" i="9"/>
  <c r="KB27" i="9"/>
  <c r="KE27" i="9"/>
  <c r="KG59" i="9" s="1"/>
  <c r="KD42" i="9"/>
  <c r="KB42" i="9"/>
  <c r="KE42" i="9"/>
  <c r="KG74" i="9" s="1"/>
  <c r="KD33" i="9"/>
  <c r="KB33" i="9"/>
  <c r="KE33" i="9"/>
  <c r="KG65" i="9" s="1"/>
  <c r="KD43" i="9"/>
  <c r="KB43" i="9"/>
  <c r="KE43" i="9"/>
  <c r="KG75" i="9" s="1"/>
  <c r="KB30" i="9"/>
  <c r="KD30" i="9"/>
  <c r="KE30" i="9"/>
  <c r="KG62" i="9" s="1"/>
  <c r="KB15" i="9"/>
  <c r="KD15" i="9"/>
  <c r="KE15" i="9"/>
  <c r="KG47" i="9" s="1"/>
  <c r="KD32" i="9"/>
  <c r="KB32" i="9"/>
  <c r="KE32" i="9"/>
  <c r="KG64" i="9" s="1"/>
  <c r="KD35" i="9"/>
  <c r="KB35" i="9"/>
  <c r="KE35" i="9"/>
  <c r="KG67" i="9" s="1"/>
  <c r="KB14" i="9"/>
  <c r="KD14" i="9"/>
  <c r="KE14" i="9"/>
  <c r="KG46" i="9" s="1"/>
  <c r="KD25" i="9"/>
  <c r="KB25" i="9"/>
  <c r="KE25" i="9"/>
  <c r="KG57" i="9" s="1"/>
  <c r="KB40" i="9"/>
  <c r="KD40" i="9"/>
  <c r="KE40" i="9"/>
  <c r="KG72" i="9" s="1"/>
  <c r="KD37" i="9"/>
  <c r="KB37" i="9"/>
  <c r="KE37" i="9"/>
  <c r="KG69" i="9" s="1"/>
  <c r="AI45" i="1"/>
  <c r="AI46" i="1"/>
  <c r="BP15" i="17" l="1"/>
  <c r="BX15" i="17"/>
  <c r="AZ15" i="17"/>
  <c r="BA15" i="17" s="1"/>
  <c r="BC15" i="17"/>
  <c r="BD15" i="17" s="1"/>
  <c r="AT15" i="17"/>
  <c r="AU15" i="17" s="1"/>
  <c r="BF15" i="17"/>
  <c r="BG15" i="17" s="1"/>
  <c r="AW15" i="17"/>
  <c r="AX15" i="17" s="1"/>
  <c r="KK48" i="9"/>
  <c r="KK49" i="9"/>
  <c r="KJ48" i="9"/>
  <c r="KK47" i="9"/>
  <c r="KK46" i="9"/>
  <c r="KJ49" i="9"/>
  <c r="KJ47" i="9"/>
  <c r="KJ46" i="9"/>
  <c r="KL54" i="9"/>
  <c r="KK53" i="9"/>
  <c r="KK54" i="9"/>
  <c r="KL51" i="9"/>
  <c r="KK50" i="9"/>
  <c r="KL52" i="9"/>
  <c r="KK51" i="9"/>
  <c r="KL53" i="9"/>
  <c r="KK52" i="9"/>
  <c r="KL50" i="9"/>
  <c r="S9" i="9"/>
  <c r="N16" i="9" l="1"/>
  <c r="N14" i="9"/>
  <c r="N15" i="9"/>
  <c r="N38" i="9"/>
  <c r="N22" i="9"/>
  <c r="N21" i="9"/>
  <c r="N44" i="9"/>
  <c r="N28" i="9"/>
  <c r="N41" i="9"/>
  <c r="N19" i="9"/>
  <c r="N39" i="9"/>
  <c r="N34" i="9"/>
  <c r="N17" i="9"/>
  <c r="N40" i="9"/>
  <c r="N24" i="9"/>
  <c r="N27" i="9"/>
  <c r="N25" i="9"/>
  <c r="N18" i="9"/>
  <c r="N31" i="9"/>
  <c r="N29" i="9"/>
  <c r="N35" i="9"/>
  <c r="N43" i="9"/>
  <c r="N23" i="9"/>
  <c r="N30" i="9"/>
  <c r="N33" i="9"/>
  <c r="N37" i="9"/>
  <c r="N36" i="9"/>
  <c r="N20" i="9"/>
  <c r="N42" i="9"/>
  <c r="N26" i="9"/>
  <c r="N32" i="9"/>
  <c r="O28" i="9"/>
  <c r="O22" i="9"/>
  <c r="O19" i="9"/>
  <c r="K19" i="9" s="1"/>
  <c r="N60" i="9" l="1"/>
  <c r="O60" i="9" s="1"/>
  <c r="N51" i="9"/>
  <c r="N54" i="9"/>
  <c r="O54" i="9" s="1"/>
  <c r="M30" i="9"/>
  <c r="M27" i="9"/>
  <c r="M28" i="9"/>
  <c r="P28" i="9" s="1"/>
  <c r="M39" i="9"/>
  <c r="M26" i="9"/>
  <c r="M37" i="9"/>
  <c r="M43" i="9"/>
  <c r="M40" i="9"/>
  <c r="M21" i="9"/>
  <c r="M42" i="9"/>
  <c r="M33" i="9"/>
  <c r="M35" i="9"/>
  <c r="M25" i="9"/>
  <c r="M41" i="9"/>
  <c r="M14" i="9"/>
  <c r="O39" i="9"/>
  <c r="N71" i="9" s="1"/>
  <c r="O71" i="9" s="1"/>
  <c r="M20" i="9"/>
  <c r="M15" i="9"/>
  <c r="M18" i="9"/>
  <c r="M19" i="9"/>
  <c r="P19" i="9" s="1"/>
  <c r="M17" i="9"/>
  <c r="M22" i="9"/>
  <c r="P22" i="9" s="1"/>
  <c r="M16" i="9"/>
  <c r="O16" i="9"/>
  <c r="N48" i="9" s="1"/>
  <c r="O48" i="9" s="1"/>
  <c r="O17" i="9"/>
  <c r="N49" i="9" s="1"/>
  <c r="O49" i="9" s="1"/>
  <c r="O33" i="9"/>
  <c r="N65" i="9" s="1"/>
  <c r="O21" i="9"/>
  <c r="N53" i="9" s="1"/>
  <c r="O53" i="9" s="1"/>
  <c r="O25" i="9"/>
  <c r="N57" i="9" s="1"/>
  <c r="O57" i="9" s="1"/>
  <c r="O35" i="9"/>
  <c r="N67" i="9" s="1"/>
  <c r="O67" i="9" s="1"/>
  <c r="O41" i="9"/>
  <c r="N73" i="9" s="1"/>
  <c r="O73" i="9" s="1"/>
  <c r="O14" i="9"/>
  <c r="N46" i="9" s="1"/>
  <c r="O46" i="9" s="1"/>
  <c r="O15" i="9"/>
  <c r="N47" i="9" s="1"/>
  <c r="O47" i="9" s="1"/>
  <c r="O18" i="9"/>
  <c r="N50" i="9" s="1"/>
  <c r="O50" i="9" s="1"/>
  <c r="O40" i="9"/>
  <c r="N72" i="9" s="1"/>
  <c r="O72" i="9" s="1"/>
  <c r="O29" i="9"/>
  <c r="N61" i="9" s="1"/>
  <c r="O61" i="9" s="1"/>
  <c r="M29" i="9"/>
  <c r="O34" i="9"/>
  <c r="N66" i="9" s="1"/>
  <c r="O66" i="9" s="1"/>
  <c r="M34" i="9"/>
  <c r="O38" i="9"/>
  <c r="N70" i="9" s="1"/>
  <c r="O70" i="9" s="1"/>
  <c r="M38" i="9"/>
  <c r="O42" i="9"/>
  <c r="O32" i="9"/>
  <c r="N64" i="9" s="1"/>
  <c r="O64" i="9" s="1"/>
  <c r="M32" i="9"/>
  <c r="O36" i="9"/>
  <c r="N68" i="9" s="1"/>
  <c r="O68" i="9" s="1"/>
  <c r="M36" i="9"/>
  <c r="O23" i="9"/>
  <c r="N55" i="9" s="1"/>
  <c r="O55" i="9" s="1"/>
  <c r="M23" i="9"/>
  <c r="O31" i="9"/>
  <c r="N63" i="9" s="1"/>
  <c r="O63" i="9" s="1"/>
  <c r="M31" i="9"/>
  <c r="O24" i="9"/>
  <c r="N56" i="9" s="1"/>
  <c r="O56" i="9" s="1"/>
  <c r="M24" i="9"/>
  <c r="O44" i="9"/>
  <c r="N76" i="9" s="1"/>
  <c r="O76" i="9" s="1"/>
  <c r="M44" i="9"/>
  <c r="O37" i="9"/>
  <c r="P37" i="9" s="1"/>
  <c r="O26" i="9"/>
  <c r="N58" i="9" s="1"/>
  <c r="O30" i="9"/>
  <c r="N62" i="9" s="1"/>
  <c r="O62" i="9" s="1"/>
  <c r="O43" i="9"/>
  <c r="N75" i="9" s="1"/>
  <c r="O75" i="9" s="1"/>
  <c r="O27" i="9"/>
  <c r="N59" i="9" s="1"/>
  <c r="O59" i="9" s="1"/>
  <c r="O20" i="9"/>
  <c r="N52" i="9" s="1"/>
  <c r="O52" i="9" s="1"/>
  <c r="P39" i="9" l="1"/>
  <c r="R71" i="9" s="1"/>
  <c r="R54" i="9"/>
  <c r="R51" i="9"/>
  <c r="R60" i="9"/>
  <c r="R69" i="9"/>
  <c r="O51" i="9"/>
  <c r="O58" i="9" s="1"/>
  <c r="O65" i="9" s="1"/>
  <c r="P42" i="9"/>
  <c r="N69" i="9"/>
  <c r="O69" i="9" s="1"/>
  <c r="N74" i="9"/>
  <c r="O74" i="9" s="1"/>
  <c r="P43" i="9"/>
  <c r="P30" i="9"/>
  <c r="P25" i="9"/>
  <c r="P35" i="9"/>
  <c r="P21" i="9"/>
  <c r="P26" i="9"/>
  <c r="P33" i="9"/>
  <c r="P27" i="9"/>
  <c r="P40" i="9"/>
  <c r="P41" i="9"/>
  <c r="P14" i="9"/>
  <c r="R46" i="9" s="1"/>
  <c r="P20" i="9"/>
  <c r="P15" i="9"/>
  <c r="P18" i="9"/>
  <c r="P17" i="9"/>
  <c r="P16" i="9"/>
  <c r="X41" i="19"/>
  <c r="Y41" i="19" s="1"/>
  <c r="X32" i="19"/>
  <c r="Y32" i="19" s="1"/>
  <c r="X34" i="19"/>
  <c r="Y34" i="19" s="1"/>
  <c r="X25" i="19"/>
  <c r="Y25" i="19" s="1"/>
  <c r="W17" i="19"/>
  <c r="Y17" i="19" s="1"/>
  <c r="X18" i="19"/>
  <c r="Y18" i="19" s="1"/>
  <c r="W15" i="19"/>
  <c r="X13" i="19"/>
  <c r="X20" i="19"/>
  <c r="Y20" i="19" s="1"/>
  <c r="P31" i="9"/>
  <c r="P23" i="9"/>
  <c r="P29" i="9"/>
  <c r="P32" i="9"/>
  <c r="P34" i="9"/>
  <c r="P44" i="9"/>
  <c r="P36" i="9"/>
  <c r="P24" i="9"/>
  <c r="P38" i="9"/>
  <c r="R55" i="9" l="1"/>
  <c r="R49" i="9"/>
  <c r="R65" i="9"/>
  <c r="R57" i="9"/>
  <c r="R70" i="9"/>
  <c r="R66" i="9"/>
  <c r="R63" i="9"/>
  <c r="R50" i="9"/>
  <c r="R73" i="9"/>
  <c r="R58" i="9"/>
  <c r="R62" i="9"/>
  <c r="R74" i="9"/>
  <c r="R56" i="9"/>
  <c r="R64" i="9"/>
  <c r="R72" i="9"/>
  <c r="R53" i="9"/>
  <c r="R75" i="9"/>
  <c r="R68" i="9"/>
  <c r="R61" i="9"/>
  <c r="R48" i="9"/>
  <c r="R52" i="9"/>
  <c r="R59" i="9"/>
  <c r="R67" i="9"/>
  <c r="R76" i="9"/>
  <c r="R47" i="9"/>
  <c r="P47" i="9"/>
  <c r="Y15" i="19"/>
  <c r="Y13" i="19"/>
  <c r="W38" i="19"/>
  <c r="Y38" i="19" s="1"/>
  <c r="W29" i="19"/>
  <c r="Y29" i="19" s="1"/>
  <c r="W22" i="19"/>
  <c r="Y22" i="19" s="1"/>
  <c r="X27" i="19"/>
  <c r="Y27" i="19" s="1"/>
  <c r="W24" i="19"/>
  <c r="Y24" i="19" s="1"/>
  <c r="W35" i="19"/>
  <c r="Y35" i="19" s="1"/>
  <c r="W26" i="19"/>
  <c r="Y26" i="19" s="1"/>
  <c r="U48" i="9" l="1"/>
  <c r="U47" i="9"/>
  <c r="U49" i="9"/>
  <c r="V48" i="9"/>
  <c r="V47" i="9"/>
  <c r="V49" i="9"/>
  <c r="U46" i="9"/>
  <c r="V46" i="9"/>
  <c r="W54" i="9"/>
  <c r="X43" i="19"/>
  <c r="AE8" i="19" s="1"/>
  <c r="W40" i="19"/>
  <c r="Y40" i="19" s="1"/>
  <c r="W31" i="19"/>
  <c r="Y31" i="19" s="1"/>
  <c r="W42" i="19"/>
  <c r="W33" i="19"/>
  <c r="Y33" i="19" s="1"/>
  <c r="W52" i="9" l="1"/>
  <c r="W53" i="9"/>
  <c r="W50" i="9"/>
  <c r="W51" i="9"/>
  <c r="V51" i="9"/>
  <c r="V52" i="9"/>
  <c r="V53" i="9"/>
  <c r="V50" i="9"/>
  <c r="V54" i="9"/>
  <c r="Y42" i="19"/>
  <c r="Y43" i="19" s="1"/>
  <c r="W43" i="19"/>
  <c r="AC8" i="19" s="1"/>
  <c r="D4" i="3"/>
  <c r="A8" i="16" s="1"/>
  <c r="E7" i="8"/>
  <c r="G7" i="8" l="1"/>
  <c r="G4" i="3" s="1"/>
  <c r="A8" i="4"/>
  <c r="A9" i="10"/>
  <c r="B9" i="10" s="1"/>
  <c r="C9" i="10" s="1"/>
  <c r="AF4" i="3" l="1"/>
  <c r="Y1" i="1" s="1"/>
  <c r="CA5" i="6" s="1"/>
  <c r="Z8" i="17"/>
  <c r="AJ4" i="3"/>
  <c r="AI4" i="3"/>
  <c r="AF8" i="16"/>
  <c r="AE4" i="3"/>
  <c r="F4" i="3"/>
  <c r="S9" i="10"/>
  <c r="T8" i="4"/>
  <c r="CV3" i="17" l="1"/>
  <c r="V8" i="17"/>
  <c r="CT2" i="17" s="1"/>
  <c r="I5" i="17"/>
  <c r="J5" i="17" s="1"/>
  <c r="AE8" i="16"/>
  <c r="E6" i="20"/>
  <c r="D8" i="17"/>
  <c r="F8" i="17"/>
  <c r="C8" i="17"/>
  <c r="E8" i="17"/>
  <c r="G8" i="17"/>
  <c r="H8" i="17"/>
  <c r="O8" i="17"/>
  <c r="K8" i="17"/>
  <c r="N8" i="17"/>
  <c r="J8" i="17"/>
  <c r="M8" i="17"/>
  <c r="I8" i="17"/>
  <c r="P8" i="17"/>
  <c r="L8" i="17"/>
  <c r="AC9" i="10"/>
  <c r="A8" i="17" s="1"/>
  <c r="AG9" i="10"/>
  <c r="AH9" i="10"/>
  <c r="Z8" i="4"/>
  <c r="AB10" i="6" s="1"/>
  <c r="B8" i="4"/>
  <c r="AI8" i="4" s="1"/>
  <c r="P29" i="1" s="1"/>
  <c r="S8" i="4"/>
  <c r="V9" i="10"/>
  <c r="U9" i="10"/>
  <c r="AU8" i="4"/>
  <c r="Z24" i="6" s="1"/>
  <c r="O8" i="4"/>
  <c r="AM8" i="4" s="1"/>
  <c r="S49" i="1" s="1"/>
  <c r="M8" i="4"/>
  <c r="AE8" i="4"/>
  <c r="AX8" i="4"/>
  <c r="AH24" i="6" s="1"/>
  <c r="AA8" i="4"/>
  <c r="I8" i="4"/>
  <c r="AZ8" i="4"/>
  <c r="AL24" i="6" s="1"/>
  <c r="AB8" i="4"/>
  <c r="X9" i="10"/>
  <c r="BB8" i="4"/>
  <c r="BC8" i="4"/>
  <c r="BE8" i="4"/>
  <c r="D8" i="4"/>
  <c r="BG8" i="4" s="1"/>
  <c r="AE9" i="10"/>
  <c r="P48" i="1" s="1"/>
  <c r="BA8" i="4"/>
  <c r="AR24" i="6" s="1"/>
  <c r="AY8" i="4"/>
  <c r="AJ24" i="6" s="1"/>
  <c r="N8" i="4"/>
  <c r="AL8" i="4" s="1"/>
  <c r="P49" i="1" s="1"/>
  <c r="G8" i="4"/>
  <c r="BJ8" i="4" s="1"/>
  <c r="AF8" i="4"/>
  <c r="F8" i="4"/>
  <c r="J8" i="4"/>
  <c r="BL8" i="4"/>
  <c r="P8" i="4"/>
  <c r="H8" i="4"/>
  <c r="BK8" i="4" s="1"/>
  <c r="AW8" i="4"/>
  <c r="AD24" i="6" s="1"/>
  <c r="BF8" i="4"/>
  <c r="BD8" i="4"/>
  <c r="AK9" i="10"/>
  <c r="E8" i="4"/>
  <c r="BH8" i="4" s="1"/>
  <c r="K8" i="4"/>
  <c r="AV8" i="4"/>
  <c r="AB24" i="6" s="1"/>
  <c r="BI8" i="4"/>
  <c r="AD8" i="4"/>
  <c r="BH10" i="6" s="1"/>
  <c r="C8" i="4"/>
  <c r="AK8" i="4" s="1"/>
  <c r="AC8" i="4"/>
  <c r="AG8" i="4"/>
  <c r="L8" i="4"/>
  <c r="W9" i="10"/>
  <c r="P6" i="1" s="1"/>
  <c r="AD9" i="10"/>
  <c r="AF9" i="10"/>
  <c r="S48" i="1" s="1"/>
  <c r="R9" i="10"/>
  <c r="Y43" i="1" l="1"/>
  <c r="Q1" i="21"/>
  <c r="EF10" i="17"/>
  <c r="EF9" i="17"/>
  <c r="EE9" i="17" s="1"/>
  <c r="DF12" i="17"/>
  <c r="DE12" i="17" s="1"/>
  <c r="DI12" i="17" s="1"/>
  <c r="DF13" i="17"/>
  <c r="DE13" i="17" s="1"/>
  <c r="DI13" i="17" s="1"/>
  <c r="DF10" i="17"/>
  <c r="DF11" i="17"/>
  <c r="DE11" i="17" s="1"/>
  <c r="DI11" i="17" s="1"/>
  <c r="DF9" i="17"/>
  <c r="DE9" i="17" s="1"/>
  <c r="S8" i="17"/>
  <c r="AT8" i="17" s="1"/>
  <c r="DN9" i="17" s="1"/>
  <c r="W8" i="17"/>
  <c r="CU2" i="17" s="1"/>
  <c r="AN8" i="17"/>
  <c r="AK8" i="17"/>
  <c r="AH8" i="17"/>
  <c r="AI8" i="17" s="1"/>
  <c r="AE8" i="17"/>
  <c r="AB8" i="17"/>
  <c r="AJ8" i="17"/>
  <c r="AP8" i="17"/>
  <c r="AM8" i="17"/>
  <c r="U8" i="17"/>
  <c r="AE3" i="17"/>
  <c r="BR8" i="17"/>
  <c r="BU8" i="17"/>
  <c r="BO8" i="17"/>
  <c r="DA9" i="17" s="1"/>
  <c r="AN8" i="16"/>
  <c r="AM14" i="6" s="1"/>
  <c r="P7" i="1"/>
  <c r="P10" i="6"/>
  <c r="S5" i="1"/>
  <c r="S7" i="1"/>
  <c r="B8" i="17"/>
  <c r="CB8" i="17" s="1"/>
  <c r="DA13" i="17" s="1"/>
  <c r="AF24" i="6"/>
  <c r="BY10" i="6"/>
  <c r="P5" i="1"/>
  <c r="AN24" i="6"/>
  <c r="S31" i="1"/>
  <c r="BT24" i="6"/>
  <c r="S32" i="1"/>
  <c r="BV24" i="6"/>
  <c r="S30" i="1"/>
  <c r="BR24" i="6"/>
  <c r="P30" i="1"/>
  <c r="BJ24" i="6"/>
  <c r="P31" i="1"/>
  <c r="BL24" i="6"/>
  <c r="P32" i="1"/>
  <c r="BN24" i="6"/>
  <c r="S20" i="1"/>
  <c r="AZ24" i="6"/>
  <c r="S22" i="1"/>
  <c r="BD24" i="6"/>
  <c r="S21" i="1"/>
  <c r="BB24" i="6"/>
  <c r="P21" i="1"/>
  <c r="AT24" i="6"/>
  <c r="P22" i="1"/>
  <c r="AV24" i="6"/>
  <c r="V49" i="1"/>
  <c r="AM20" i="4"/>
  <c r="V48" i="1"/>
  <c r="AV20" i="4"/>
  <c r="AP20" i="4" s="1"/>
  <c r="P16" i="1"/>
  <c r="AU20" i="4"/>
  <c r="P15" i="1"/>
  <c r="AW20" i="4"/>
  <c r="AQ20" i="4" s="1"/>
  <c r="P17" i="1"/>
  <c r="AD10" i="6"/>
  <c r="P14" i="1"/>
  <c r="AH10" i="6"/>
  <c r="S14" i="1"/>
  <c r="AZ20" i="4"/>
  <c r="AT20" i="4" s="1"/>
  <c r="S17" i="1"/>
  <c r="AX20" i="4"/>
  <c r="AR20" i="4" s="1"/>
  <c r="S15" i="1"/>
  <c r="AY20" i="4"/>
  <c r="AS20" i="4" s="1"/>
  <c r="S16" i="1"/>
  <c r="AF10" i="6"/>
  <c r="S13" i="1"/>
  <c r="P13" i="1"/>
  <c r="P19" i="1"/>
  <c r="BA20" i="4"/>
  <c r="P20" i="1"/>
  <c r="BN10" i="6"/>
  <c r="S19" i="1"/>
  <c r="BL10" i="6"/>
  <c r="S18" i="1"/>
  <c r="BF10" i="6"/>
  <c r="S29" i="1"/>
  <c r="AS8" i="16"/>
  <c r="BB10" i="6"/>
  <c r="P18" i="1"/>
  <c r="AJ8" i="4"/>
  <c r="AJ20" i="4" s="1"/>
  <c r="BJ10" i="6"/>
  <c r="J10" i="6"/>
  <c r="L10" i="6"/>
  <c r="S6" i="1"/>
  <c r="R10" i="6"/>
  <c r="AP10" i="6"/>
  <c r="AN10" i="6"/>
  <c r="AL10" i="6"/>
  <c r="AJ10" i="6"/>
  <c r="AR8" i="16"/>
  <c r="AH8" i="4"/>
  <c r="AK20" i="4"/>
  <c r="AI20" i="4"/>
  <c r="AD20" i="4"/>
  <c r="AF20" i="4"/>
  <c r="AE20" i="4"/>
  <c r="AG20" i="4"/>
  <c r="AC20" i="4"/>
  <c r="Z20" i="4"/>
  <c r="AB20" i="4"/>
  <c r="AA20" i="4"/>
  <c r="AQ8" i="16"/>
  <c r="P46" i="1" s="1"/>
  <c r="AO8" i="16"/>
  <c r="AV14" i="6" s="1"/>
  <c r="AT9" i="10"/>
  <c r="BX10" i="6" s="1"/>
  <c r="AT9" i="4"/>
  <c r="AO9" i="4"/>
  <c r="AL20" i="4"/>
  <c r="AN8" i="4"/>
  <c r="AS9" i="4"/>
  <c r="AR9" i="4"/>
  <c r="AQ9" i="4"/>
  <c r="W9" i="4"/>
  <c r="AP9" i="4"/>
  <c r="Y9" i="4"/>
  <c r="AJ9" i="21" l="1"/>
  <c r="AJ8" i="21"/>
  <c r="AJ10" i="21"/>
  <c r="AJ7" i="21"/>
  <c r="AD7" i="21"/>
  <c r="AI9" i="21"/>
  <c r="AI10" i="21"/>
  <c r="AF10" i="21"/>
  <c r="AF9" i="21"/>
  <c r="AE10" i="21"/>
  <c r="AE9" i="21"/>
  <c r="AD9" i="21"/>
  <c r="AH9" i="21" s="1"/>
  <c r="AD8" i="21"/>
  <c r="AD10" i="21"/>
  <c r="AH10" i="21" s="1"/>
  <c r="EH9" i="17"/>
  <c r="EG9" i="17"/>
  <c r="EE10" i="17"/>
  <c r="AN20" i="4"/>
  <c r="DG13" i="17"/>
  <c r="DH13" i="17"/>
  <c r="DG12" i="17"/>
  <c r="DH12" i="17"/>
  <c r="DG11" i="17"/>
  <c r="DH11" i="17"/>
  <c r="DG9" i="17"/>
  <c r="DE10" i="17"/>
  <c r="AL8" i="17"/>
  <c r="DA10" i="17"/>
  <c r="DA11" i="17"/>
  <c r="CN8" i="17"/>
  <c r="EA9" i="17" s="1"/>
  <c r="BF8" i="17"/>
  <c r="AZ8" i="17"/>
  <c r="DN11" i="17" s="1"/>
  <c r="BC8" i="17"/>
  <c r="AW8" i="17"/>
  <c r="DN10" i="17" s="1"/>
  <c r="BX8" i="17"/>
  <c r="V31" i="1"/>
  <c r="P41" i="1"/>
  <c r="AN20" i="16"/>
  <c r="V7" i="1"/>
  <c r="V5" i="1"/>
  <c r="CK8" i="17"/>
  <c r="CH8" i="17"/>
  <c r="CE8" i="17"/>
  <c r="CQ8" i="17"/>
  <c r="DT9" i="17" s="1"/>
  <c r="BL8" i="17"/>
  <c r="DA12" i="17" s="1"/>
  <c r="AP24" i="6"/>
  <c r="AP10" i="4"/>
  <c r="AP11" i="4" s="1"/>
  <c r="AP12" i="4" s="1"/>
  <c r="AP13" i="4" s="1"/>
  <c r="AP14" i="4" s="1"/>
  <c r="AP15" i="4" s="1"/>
  <c r="AP16" i="4" s="1"/>
  <c r="P11" i="1"/>
  <c r="P26" i="1" s="1"/>
  <c r="P36" i="1" s="1"/>
  <c r="K24" i="6"/>
  <c r="AS10" i="4"/>
  <c r="AS11" i="4" s="1"/>
  <c r="AS12" i="4" s="1"/>
  <c r="AS13" i="4" s="1"/>
  <c r="AS14" i="4" s="1"/>
  <c r="AS15" i="4" s="1"/>
  <c r="AS16" i="4" s="1"/>
  <c r="S11" i="1"/>
  <c r="S26" i="1" s="1"/>
  <c r="S36" i="1" s="1"/>
  <c r="R24" i="6"/>
  <c r="W10" i="4"/>
  <c r="W11" i="4" s="1"/>
  <c r="W12" i="4" s="1"/>
  <c r="W13" i="4" s="1"/>
  <c r="W14" i="4" s="1"/>
  <c r="W15" i="4" s="1"/>
  <c r="W16" i="4" s="1"/>
  <c r="P9" i="1"/>
  <c r="P24" i="1" s="1"/>
  <c r="P34" i="1" s="1"/>
  <c r="V10" i="6"/>
  <c r="AT10" i="6" s="1"/>
  <c r="BR10" i="6" s="1"/>
  <c r="Y10" i="4"/>
  <c r="Y11" i="4" s="1"/>
  <c r="Y12" i="4" s="1"/>
  <c r="Y13" i="4" s="1"/>
  <c r="Y14" i="4" s="1"/>
  <c r="Y15" i="4" s="1"/>
  <c r="Y16" i="4" s="1"/>
  <c r="T16" i="24" s="1"/>
  <c r="S9" i="1"/>
  <c r="S24" i="1" s="1"/>
  <c r="Z10" i="6"/>
  <c r="AX10" i="6" s="1"/>
  <c r="BV10" i="6" s="1"/>
  <c r="AR10" i="4"/>
  <c r="AR11" i="4" s="1"/>
  <c r="AR12" i="4" s="1"/>
  <c r="AR13" i="4" s="1"/>
  <c r="AR14" i="4" s="1"/>
  <c r="AR15" i="4" s="1"/>
  <c r="AR16" i="4" s="1"/>
  <c r="S10" i="1"/>
  <c r="S25" i="1" s="1"/>
  <c r="P24" i="6"/>
  <c r="AO10" i="4"/>
  <c r="AO11" i="4" s="1"/>
  <c r="AO12" i="4" s="1"/>
  <c r="AO13" i="4" s="1"/>
  <c r="AO14" i="4" s="1"/>
  <c r="AO15" i="4" s="1"/>
  <c r="AO16" i="4" s="1"/>
  <c r="P10" i="1"/>
  <c r="P25" i="1" s="1"/>
  <c r="P35" i="1" s="1"/>
  <c r="J24" i="6"/>
  <c r="AQ10" i="4"/>
  <c r="AQ11" i="4" s="1"/>
  <c r="AQ12" i="4" s="1"/>
  <c r="AQ13" i="4" s="1"/>
  <c r="AQ14" i="4" s="1"/>
  <c r="AQ15" i="4" s="1"/>
  <c r="AQ16" i="4" s="1"/>
  <c r="P12" i="1"/>
  <c r="L24" i="6"/>
  <c r="AT10" i="4"/>
  <c r="AT11" i="4" s="1"/>
  <c r="AT12" i="4" s="1"/>
  <c r="AT13" i="4" s="1"/>
  <c r="AT14" i="4" s="1"/>
  <c r="AT15" i="4" s="1"/>
  <c r="AT16" i="4" s="1"/>
  <c r="S12" i="1"/>
  <c r="S27" i="1" s="1"/>
  <c r="S37" i="1" s="1"/>
  <c r="T24" i="6"/>
  <c r="E44" i="1"/>
  <c r="F44" i="1" s="1"/>
  <c r="E46" i="1"/>
  <c r="F46" i="1" s="1"/>
  <c r="E45" i="1"/>
  <c r="F45" i="1" s="1"/>
  <c r="E47" i="1"/>
  <c r="F47" i="1" s="1"/>
  <c r="BF24" i="6"/>
  <c r="BP24" i="6"/>
  <c r="BX24" i="6"/>
  <c r="V21" i="1"/>
  <c r="V30" i="1"/>
  <c r="V32" i="1"/>
  <c r="V22" i="1"/>
  <c r="AX24" i="6"/>
  <c r="BE14" i="6"/>
  <c r="AO20" i="16"/>
  <c r="S41" i="1"/>
  <c r="V16" i="1"/>
  <c r="AS20" i="16"/>
  <c r="S53" i="1"/>
  <c r="AR20" i="16"/>
  <c r="P53" i="1"/>
  <c r="AI9" i="16"/>
  <c r="AO20" i="4"/>
  <c r="V15" i="1"/>
  <c r="V14" i="1"/>
  <c r="AZ10" i="6"/>
  <c r="P28" i="1"/>
  <c r="V18" i="1"/>
  <c r="V17" i="1"/>
  <c r="V13" i="1"/>
  <c r="V20" i="1"/>
  <c r="V19" i="1"/>
  <c r="BD10" i="6"/>
  <c r="S28" i="1"/>
  <c r="V29" i="1"/>
  <c r="X9" i="4"/>
  <c r="V6" i="1"/>
  <c r="AT8" i="16"/>
  <c r="AJ9" i="16" s="1"/>
  <c r="AH20" i="4"/>
  <c r="V20" i="4" s="1"/>
  <c r="X20" i="4"/>
  <c r="Y20" i="4"/>
  <c r="W20" i="4"/>
  <c r="AP8" i="16"/>
  <c r="AQ20" i="16"/>
  <c r="AI20" i="16" s="1"/>
  <c r="V9" i="4"/>
  <c r="AM9" i="10"/>
  <c r="AO9" i="10" s="1"/>
  <c r="AH8" i="21" l="1"/>
  <c r="AF8" i="21"/>
  <c r="AI8" i="21"/>
  <c r="AE8" i="21"/>
  <c r="T15" i="24"/>
  <c r="T17" i="24" s="1"/>
  <c r="AE7" i="21"/>
  <c r="AI7" i="21" s="1"/>
  <c r="AF7" i="21"/>
  <c r="EH10" i="17"/>
  <c r="EI9" i="17"/>
  <c r="EG10" i="17"/>
  <c r="DG10" i="17"/>
  <c r="DA14" i="17"/>
  <c r="DN13" i="17"/>
  <c r="DA15" i="17"/>
  <c r="DA16" i="17"/>
  <c r="DG14" i="17"/>
  <c r="DA17" i="17"/>
  <c r="DG15" i="17"/>
  <c r="CS8" i="17"/>
  <c r="DG16" i="17"/>
  <c r="CV16" i="17"/>
  <c r="CT16" i="17" s="1"/>
  <c r="T16" i="17" s="1"/>
  <c r="V41" i="1"/>
  <c r="AP20" i="16"/>
  <c r="AH20" i="16" s="1"/>
  <c r="CU8" i="17"/>
  <c r="AQ8" i="17" s="1"/>
  <c r="V10" i="1"/>
  <c r="V24" i="1"/>
  <c r="V12" i="1"/>
  <c r="V9" i="1"/>
  <c r="AI10" i="16"/>
  <c r="AI11" i="16" s="1"/>
  <c r="AI12" i="16" s="1"/>
  <c r="AI13" i="16" s="1"/>
  <c r="AI14" i="16" s="1"/>
  <c r="AI15" i="16" s="1"/>
  <c r="AI16" i="16" s="1"/>
  <c r="V15" i="24" s="1"/>
  <c r="L10" i="24" s="1"/>
  <c r="P43" i="1"/>
  <c r="P45" i="1" s="1"/>
  <c r="P47" i="1" s="1"/>
  <c r="N24" i="6"/>
  <c r="V10" i="4"/>
  <c r="V11" i="4" s="1"/>
  <c r="V12" i="4" s="1"/>
  <c r="V13" i="4" s="1"/>
  <c r="V14" i="4" s="1"/>
  <c r="V15" i="4" s="1"/>
  <c r="V16" i="4" s="1"/>
  <c r="S15" i="24" s="1"/>
  <c r="P8" i="1"/>
  <c r="T10" i="6"/>
  <c r="AR10" i="6" s="1"/>
  <c r="BP10" i="6" s="1"/>
  <c r="AJ10" i="16"/>
  <c r="AJ11" i="16" s="1"/>
  <c r="AJ12" i="16" s="1"/>
  <c r="AJ13" i="16" s="1"/>
  <c r="AJ14" i="16" s="1"/>
  <c r="AJ15" i="16" s="1"/>
  <c r="AJ16" i="16" s="1"/>
  <c r="P50" i="1"/>
  <c r="P52" i="1" s="1"/>
  <c r="X10" i="4"/>
  <c r="X11" i="4" s="1"/>
  <c r="X12" i="4" s="1"/>
  <c r="X13" i="4" s="1"/>
  <c r="X14" i="4" s="1"/>
  <c r="X15" i="4" s="1"/>
  <c r="X16" i="4" s="1"/>
  <c r="S8" i="1"/>
  <c r="S23" i="1" s="1"/>
  <c r="S33" i="1" s="1"/>
  <c r="X10" i="6"/>
  <c r="AV10" i="6" s="1"/>
  <c r="BT10" i="6" s="1"/>
  <c r="P27" i="1"/>
  <c r="P37" i="1" s="1"/>
  <c r="V37" i="1" s="1"/>
  <c r="V24" i="6"/>
  <c r="V11" i="1"/>
  <c r="BH24" i="6"/>
  <c r="BY24" i="6"/>
  <c r="V36" i="1"/>
  <c r="AO10" i="10"/>
  <c r="AO11" i="10" s="1"/>
  <c r="AO12" i="10" s="1"/>
  <c r="AO13" i="10" s="1"/>
  <c r="AO14" i="10" s="1"/>
  <c r="AO15" i="10" s="1"/>
  <c r="AO16" i="10" s="1"/>
  <c r="AO17" i="10" s="1"/>
  <c r="AO18" i="10" s="1"/>
  <c r="AO19" i="10" s="1"/>
  <c r="AO20" i="10" s="1"/>
  <c r="V26" i="1"/>
  <c r="V53" i="1"/>
  <c r="S34" i="1"/>
  <c r="V34" i="1" s="1"/>
  <c r="V25" i="1"/>
  <c r="V28" i="1"/>
  <c r="S35" i="1"/>
  <c r="V35" i="1" s="1"/>
  <c r="AT20" i="16"/>
  <c r="AJ20" i="16" s="1"/>
  <c r="AH9" i="16"/>
  <c r="T18" i="24" l="1"/>
  <c r="Q1" i="24"/>
  <c r="AJ17" i="16"/>
  <c r="AJ18" i="16" s="1"/>
  <c r="AJ19" i="16" s="1"/>
  <c r="W15" i="24"/>
  <c r="P10" i="24" s="1"/>
  <c r="AI17" i="16"/>
  <c r="AI18" i="16" s="1"/>
  <c r="AI19" i="16" s="1"/>
  <c r="S16" i="24"/>
  <c r="S17" i="24" s="1"/>
  <c r="G1" i="24" s="1"/>
  <c r="AH7" i="21"/>
  <c r="EI10" i="17"/>
  <c r="EI19" i="17" s="1"/>
  <c r="Y7" i="21" s="1"/>
  <c r="AA7" i="21" s="1"/>
  <c r="EG19" i="17"/>
  <c r="DV9" i="17"/>
  <c r="DV19" i="17" s="1"/>
  <c r="S10" i="21" s="1"/>
  <c r="U10" i="21" s="1"/>
  <c r="CV14" i="17"/>
  <c r="CT14" i="17" s="1"/>
  <c r="T14" i="17" s="1"/>
  <c r="CV11" i="17"/>
  <c r="CT11" i="17" s="1"/>
  <c r="T11" i="17" s="1"/>
  <c r="CV10" i="17"/>
  <c r="CT10" i="17" s="1"/>
  <c r="T10" i="17" s="1"/>
  <c r="CV15" i="17"/>
  <c r="CT15" i="17" s="1"/>
  <c r="T15" i="17" s="1"/>
  <c r="DI16" i="17"/>
  <c r="CV13" i="17"/>
  <c r="CT13" i="17" s="1"/>
  <c r="T13" i="17" s="1"/>
  <c r="CV9" i="17"/>
  <c r="CT9" i="17" s="1"/>
  <c r="T9" i="17" s="1"/>
  <c r="CV12" i="17"/>
  <c r="CT12" i="17" s="1"/>
  <c r="T12" i="17" s="1"/>
  <c r="BN8" i="17"/>
  <c r="AG8" i="17"/>
  <c r="BI8" i="17"/>
  <c r="AV8" i="17" s="1"/>
  <c r="DP9" i="17" s="1"/>
  <c r="CM8" i="17"/>
  <c r="CP8" i="17"/>
  <c r="CG8" i="17"/>
  <c r="CJ8" i="17"/>
  <c r="BY8" i="17"/>
  <c r="CD8" i="17"/>
  <c r="V27" i="1"/>
  <c r="X24" i="6"/>
  <c r="P54" i="1"/>
  <c r="BU19" i="6"/>
  <c r="AH10" i="16"/>
  <c r="AH11" i="16" s="1"/>
  <c r="AH12" i="16" s="1"/>
  <c r="AH13" i="16" s="1"/>
  <c r="AH14" i="16" s="1"/>
  <c r="AH15" i="16" s="1"/>
  <c r="AH16" i="16" s="1"/>
  <c r="L14" i="6"/>
  <c r="AD14" i="6" s="1"/>
  <c r="BN14" i="6" s="1"/>
  <c r="P38" i="1"/>
  <c r="P40" i="1" s="1"/>
  <c r="P42" i="1" s="1"/>
  <c r="P23" i="1"/>
  <c r="V8" i="1"/>
  <c r="AH17" i="16" l="1"/>
  <c r="AH18" i="16" s="1"/>
  <c r="AH19" i="16" s="1"/>
  <c r="U15" i="24"/>
  <c r="G10" i="24" s="1"/>
  <c r="S18" i="24"/>
  <c r="AH5" i="21"/>
  <c r="AH6" i="21"/>
  <c r="AA5" i="21"/>
  <c r="AA6" i="21"/>
  <c r="EE22" i="17"/>
  <c r="EE23" i="17"/>
  <c r="DR22" i="17"/>
  <c r="DR23" i="17"/>
  <c r="AF8" i="17"/>
  <c r="DH10" i="17" s="1"/>
  <c r="DI10" i="17"/>
  <c r="AD8" i="17"/>
  <c r="AC8" i="17" s="1"/>
  <c r="DI14" i="17"/>
  <c r="DN12" i="17"/>
  <c r="DI15" i="17"/>
  <c r="CC8" i="17"/>
  <c r="DB13" i="17" s="1"/>
  <c r="DC13" i="17"/>
  <c r="CO8" i="17"/>
  <c r="EB9" i="17" s="1"/>
  <c r="DC17" i="17"/>
  <c r="BM8" i="17"/>
  <c r="DB12" i="17" s="1"/>
  <c r="DC12" i="17"/>
  <c r="CF8" i="17"/>
  <c r="DC14" i="17"/>
  <c r="CL8" i="17"/>
  <c r="DC16" i="17"/>
  <c r="CI8" i="17"/>
  <c r="DC15" i="17"/>
  <c r="BT8" i="17"/>
  <c r="BQ8" i="17"/>
  <c r="AE2" i="17"/>
  <c r="AY8" i="17"/>
  <c r="BB8" i="17"/>
  <c r="AU8" i="17"/>
  <c r="DO9" i="17" s="1"/>
  <c r="BE8" i="17"/>
  <c r="BD8" i="17" s="1"/>
  <c r="P33" i="1"/>
  <c r="V33" i="1" s="1"/>
  <c r="V23" i="1"/>
  <c r="BA8" i="17" l="1"/>
  <c r="DO11" i="17" s="1"/>
  <c r="DP11" i="17"/>
  <c r="AX8" i="17"/>
  <c r="DO10" i="17" s="1"/>
  <c r="DP10" i="17"/>
  <c r="DH9" i="17"/>
  <c r="DI9" i="17"/>
  <c r="DI19" i="17" s="1"/>
  <c r="S8" i="21" s="1"/>
  <c r="U8" i="21" s="1"/>
  <c r="DB14" i="17"/>
  <c r="DB16" i="17"/>
  <c r="DH14" i="17"/>
  <c r="DB15" i="17"/>
  <c r="DB17" i="17"/>
  <c r="DH15" i="17"/>
  <c r="BS8" i="17"/>
  <c r="DC10" i="17"/>
  <c r="BP8" i="17"/>
  <c r="DB9" i="17" s="1"/>
  <c r="DC9" i="17"/>
  <c r="AR8" i="17"/>
  <c r="BH8" i="17"/>
  <c r="BW8" i="17"/>
  <c r="DE22" i="17" l="1"/>
  <c r="DE23" i="17"/>
  <c r="BG8" i="17"/>
  <c r="DO13" i="17" s="1"/>
  <c r="DP13" i="17"/>
  <c r="DO12" i="17"/>
  <c r="DB10" i="17"/>
  <c r="BV8" i="17"/>
  <c r="DC11" i="17"/>
  <c r="DC19" i="17" s="1"/>
  <c r="S7" i="21" s="1"/>
  <c r="U7" i="21" s="1"/>
  <c r="AS8" i="17"/>
  <c r="BJ8" i="17"/>
  <c r="BK8" i="17" s="1"/>
  <c r="BZ8" i="17"/>
  <c r="CY22" i="17" l="1"/>
  <c r="CY23" i="17"/>
  <c r="DP12" i="17"/>
  <c r="DP19" i="17" s="1"/>
  <c r="S9" i="21" s="1"/>
  <c r="U9" i="21" s="1"/>
  <c r="DB11" i="17"/>
  <c r="CV8" i="17"/>
  <c r="CT8" i="17" s="1"/>
  <c r="EC9" i="17" s="1"/>
  <c r="EC19" i="17" s="1"/>
  <c r="S11" i="21" s="1"/>
  <c r="U11" i="21" s="1"/>
  <c r="CA8" i="17"/>
  <c r="U6" i="21" l="1"/>
  <c r="U5" i="21"/>
  <c r="AA3" i="21" s="1"/>
  <c r="DY22" i="17"/>
  <c r="DY23" i="17"/>
  <c r="DL22" i="17"/>
  <c r="DL23" i="17"/>
  <c r="T8" i="17"/>
  <c r="AO8" i="17" s="1"/>
  <c r="DG17" i="17"/>
  <c r="G9" i="21" l="1"/>
  <c r="G13" i="21"/>
  <c r="G11" i="21"/>
  <c r="G14" i="21"/>
  <c r="G12" i="21"/>
  <c r="G15" i="21"/>
  <c r="G10" i="21"/>
  <c r="K14" i="21" l="1"/>
  <c r="N14" i="21"/>
  <c r="K11" i="21"/>
  <c r="N11" i="21"/>
  <c r="K10" i="21"/>
  <c r="N10" i="21"/>
  <c r="K13" i="21"/>
  <c r="N13" i="21"/>
  <c r="K15" i="21"/>
  <c r="N15" i="21"/>
  <c r="K12" i="21"/>
  <c r="N12" i="21"/>
  <c r="K9" i="21"/>
  <c r="N9" i="21"/>
  <c r="J9" i="21"/>
  <c r="H14" i="21"/>
  <c r="J14" i="21"/>
  <c r="H13" i="21"/>
  <c r="J13" i="21"/>
  <c r="H10" i="21"/>
  <c r="J10" i="21"/>
  <c r="H11" i="21"/>
  <c r="J11" i="21"/>
  <c r="H15" i="21"/>
  <c r="J15" i="21"/>
  <c r="H12" i="21"/>
  <c r="J12" i="21"/>
  <c r="H9" i="21"/>
  <c r="N16" i="21" l="1"/>
  <c r="G17" i="21" s="1"/>
</calcChain>
</file>

<file path=xl/sharedStrings.xml><?xml version="1.0" encoding="utf-8"?>
<sst xmlns="http://schemas.openxmlformats.org/spreadsheetml/2006/main" count="1519" uniqueCount="420">
  <si>
    <t xml:space="preserve">विवरण </t>
  </si>
  <si>
    <t>योग</t>
  </si>
  <si>
    <t xml:space="preserve">माह के कुल कार्य दिवस </t>
  </si>
  <si>
    <t xml:space="preserve">विद्यालय का कुल नामांकन </t>
  </si>
  <si>
    <t xml:space="preserve">पोषाहार से लाभान्वित कुल विद्यार्थी </t>
  </si>
  <si>
    <t xml:space="preserve">गेंहू </t>
  </si>
  <si>
    <t xml:space="preserve">चावल </t>
  </si>
  <si>
    <t xml:space="preserve">मूंग </t>
  </si>
  <si>
    <t xml:space="preserve">उड़द </t>
  </si>
  <si>
    <t xml:space="preserve">चना </t>
  </si>
  <si>
    <t>कुकिंग कन्वर्जन वितीय स्थिति (रूपयों में)</t>
  </si>
  <si>
    <t>प्रारंभिक शेष</t>
  </si>
  <si>
    <t>प्राप्त राशि</t>
  </si>
  <si>
    <t>कुल राशि</t>
  </si>
  <si>
    <t>नोट:- सभी कोलम को सही एव पूर्ण रूप से भरे| इसकी समस्त जिम्मेदारी हस्ताक्षरकर्ता की होगी</t>
  </si>
  <si>
    <t>संस्था प्रधान मोबाइल नम्बर:-</t>
  </si>
  <si>
    <t xml:space="preserve">हस्ताक्षर मय सील </t>
  </si>
  <si>
    <t xml:space="preserve">मिड डे मील कार्यक्रम (राजस्थान सरकार) विद्यालय मासिक सुचना प्रपत्र </t>
  </si>
  <si>
    <t>खाद्यान</t>
  </si>
  <si>
    <t>प्रारंभिक शेष (किलोग्राम में)</t>
  </si>
  <si>
    <t>दाल</t>
  </si>
  <si>
    <t>सप्लायर से प्राप्त (किलोग्राम में)</t>
  </si>
  <si>
    <t xml:space="preserve">अन्यत्र से प्राप्त (जनसहयोग/उधार) (किलोग्राम में) </t>
  </si>
  <si>
    <t xml:space="preserve">कक्षा 1 से 5 </t>
  </si>
  <si>
    <t>कक्षा 6 से 8</t>
  </si>
  <si>
    <t>भोजन बनाने में खर्च (किलोग्राम में)</t>
  </si>
  <si>
    <t>उपलब्ध कुल (किलोग्राम में) 4+5+6</t>
  </si>
  <si>
    <t>शेष (किलोग्राम में) 7-8</t>
  </si>
  <si>
    <t>शेष राशि</t>
  </si>
  <si>
    <t>व्यय राशि</t>
  </si>
  <si>
    <t>दूध से लाभान्वित संख्या</t>
  </si>
  <si>
    <t xml:space="preserve">अन्नपूर्णा दुग्ध योजना सबंधित सूचना </t>
  </si>
  <si>
    <t>कुक का नाम</t>
  </si>
  <si>
    <t>विद्यालय का नाम-</t>
  </si>
  <si>
    <t>ग्राम पंचायत का नाम-</t>
  </si>
  <si>
    <t>माह/वर्ष-</t>
  </si>
  <si>
    <t>डाइस कोड-</t>
  </si>
  <si>
    <t>क्रस</t>
  </si>
  <si>
    <t>कुक कम हेल्पर वितीय स्थिति (रूपयों में)</t>
  </si>
  <si>
    <t>दूध का उपयोग लीटर में</t>
  </si>
  <si>
    <t>क्र.सं.</t>
  </si>
  <si>
    <t>एमडीएम प्रभारी का नाम</t>
  </si>
  <si>
    <t>एमडीएम प्रभारी का मोबाईल न.</t>
  </si>
  <si>
    <t>एमडीएम बैंक खाता विवरण</t>
  </si>
  <si>
    <t>बैंक</t>
  </si>
  <si>
    <t>शाखा</t>
  </si>
  <si>
    <t>IFSC कोड</t>
  </si>
  <si>
    <t>खाता नम्बर</t>
  </si>
  <si>
    <t>किचन शैड का विवरण</t>
  </si>
  <si>
    <t>योजना का नाम</t>
  </si>
  <si>
    <t>स्थिति</t>
  </si>
  <si>
    <t>पेयजल की स्थिति</t>
  </si>
  <si>
    <t>कियाशील शौचालय</t>
  </si>
  <si>
    <t>छात्र</t>
  </si>
  <si>
    <t>छात्रा</t>
  </si>
  <si>
    <t>तराजू</t>
  </si>
  <si>
    <t>खाद्यान्न सुरक्षित बर्तन</t>
  </si>
  <si>
    <t>रेम्प</t>
  </si>
  <si>
    <t>डी.पी.ई.पी. योजना</t>
  </si>
  <si>
    <t>पूर्ण</t>
  </si>
  <si>
    <t>अपूर्ण</t>
  </si>
  <si>
    <t>एस.जी.आर.वाई. योजना</t>
  </si>
  <si>
    <t>एम.डी.एम. योजना</t>
  </si>
  <si>
    <t>आदर्श रसोईघर</t>
  </si>
  <si>
    <t>चालू</t>
  </si>
  <si>
    <t>ख़राब</t>
  </si>
  <si>
    <t>नकारा</t>
  </si>
  <si>
    <t>हाँ</t>
  </si>
  <si>
    <t>नहीं</t>
  </si>
  <si>
    <t>क्र. सं.</t>
  </si>
  <si>
    <t>नामांकन</t>
  </si>
  <si>
    <t>1-5</t>
  </si>
  <si>
    <t>6-8</t>
  </si>
  <si>
    <t>दुग्ध</t>
  </si>
  <si>
    <t>लाभान्वित</t>
  </si>
  <si>
    <t>कार्य दिवस</t>
  </si>
  <si>
    <t>अधिकारी</t>
  </si>
  <si>
    <t>कुक</t>
  </si>
  <si>
    <t>एमडीएम</t>
  </si>
  <si>
    <t>कुक संख्या</t>
  </si>
  <si>
    <t>निरीक्षण सं.</t>
  </si>
  <si>
    <t xml:space="preserve">अन्यत्र से प्राप्त (जनसहयोग/उधार) या अन्य को दिया गया तो (-) में लिखें (किलोग्राम में) </t>
  </si>
  <si>
    <t>जन प्रतिनिधि</t>
  </si>
  <si>
    <t>गैस खाता संख्या</t>
  </si>
  <si>
    <t>एजेंसी का नाम</t>
  </si>
  <si>
    <t>LPG गैस कनेक्शन का विवरण</t>
  </si>
  <si>
    <t>गैस कंपनी</t>
  </si>
  <si>
    <t>पूर्व का शेष</t>
  </si>
  <si>
    <t>गेंहू</t>
  </si>
  <si>
    <t>चावल</t>
  </si>
  <si>
    <t>सप्लायर से प्राप्त</t>
  </si>
  <si>
    <t>अन्यत्र से प्राप्त</t>
  </si>
  <si>
    <t>कुल उपलब्ध खाद्यान्न</t>
  </si>
  <si>
    <t>माह में उपयोग</t>
  </si>
  <si>
    <t>अन्यत्र को दिया</t>
  </si>
  <si>
    <t>शेष खाद्यान्न</t>
  </si>
  <si>
    <t>माह-</t>
  </si>
  <si>
    <t>मिड-डे-मील कार्यक्रम</t>
  </si>
  <si>
    <t>खाद्यान्न का उपयोगिता प्रमाण पत्र (समेकित) किलोग्राम में</t>
  </si>
  <si>
    <t>नोट- सभी कॉलम को सही एवं पूर्ण रूप से भरें| इसकी समस्त जिम्मेदारी हस्ताक्षरकर्त्ता की होगी|</t>
  </si>
  <si>
    <t>माह में उपयोग राशि</t>
  </si>
  <si>
    <t>भुगतान पश्चात् शेष राशि</t>
  </si>
  <si>
    <t>कक्षा 1 से 5</t>
  </si>
  <si>
    <t>कक्षा 6  से 8</t>
  </si>
  <si>
    <t>एमडीएम राशि का उपयोगिता प्रमाण पत्र (समेकित) +/-रुपयों में</t>
  </si>
  <si>
    <t>निरीक्षण संख्या</t>
  </si>
  <si>
    <t>किचन शैड की स्थिति</t>
  </si>
  <si>
    <t>एस.जी.आर. वाई. योजना</t>
  </si>
  <si>
    <t>पेयजल की स्थिति (हैडपम्प)</t>
  </si>
  <si>
    <t>शौचालय है/नहीं</t>
  </si>
  <si>
    <t>एस.एम.सी. बैठक आयोजन दिनांक</t>
  </si>
  <si>
    <t>तराजू है/नहीं</t>
  </si>
  <si>
    <t>खाद्यान्न सुरक्षित बर्तन है/नहीं</t>
  </si>
  <si>
    <t>रेम्प है/नहीं</t>
  </si>
  <si>
    <t>चारदीवारी है/नहीं</t>
  </si>
  <si>
    <t>माह के अंत में खाली बोरियों की सं.</t>
  </si>
  <si>
    <t>भौतिक प्रगति रिपोर्ट (समेकित)</t>
  </si>
  <si>
    <t>मूंग</t>
  </si>
  <si>
    <t>उड़द</t>
  </si>
  <si>
    <t>चना</t>
  </si>
  <si>
    <t>कुल</t>
  </si>
  <si>
    <t>दाल का उपयोगिता प्रमाण पत्र (समेकित) किलोग्राम में</t>
  </si>
  <si>
    <t>माह</t>
  </si>
  <si>
    <t>1  से 5</t>
  </si>
  <si>
    <t>6  से 8</t>
  </si>
  <si>
    <t>दुग्ध दर प्रति लीटर</t>
  </si>
  <si>
    <t>कुकिंग कन्वर्जन दर प्रति छात्र</t>
  </si>
  <si>
    <t>कुक कम हेल्पर मानदेय</t>
  </si>
  <si>
    <t>वर्ष</t>
  </si>
  <si>
    <t>दुग्ध मात्रा प्रति छात्र (मिली में)</t>
  </si>
  <si>
    <t>मई</t>
  </si>
  <si>
    <t>जून</t>
  </si>
  <si>
    <t>जुलाई</t>
  </si>
  <si>
    <t>अगस्त</t>
  </si>
  <si>
    <t>सितम्बर</t>
  </si>
  <si>
    <t>अक्टूम्बर</t>
  </si>
  <si>
    <t>नवम्बर</t>
  </si>
  <si>
    <t>दिसम्बर</t>
  </si>
  <si>
    <t>जनवरी</t>
  </si>
  <si>
    <t>फरवरी</t>
  </si>
  <si>
    <t>मार्च</t>
  </si>
  <si>
    <t>अप्रैल</t>
  </si>
  <si>
    <t>वार</t>
  </si>
  <si>
    <t>मीनू</t>
  </si>
  <si>
    <t>सोमवार</t>
  </si>
  <si>
    <t>मंगलवार</t>
  </si>
  <si>
    <t>बुधवार</t>
  </si>
  <si>
    <t>गुरुवार</t>
  </si>
  <si>
    <t>शुक्रवार</t>
  </si>
  <si>
    <t>शनिवार</t>
  </si>
  <si>
    <t>दाल-चावल</t>
  </si>
  <si>
    <t>दाल-रोटी</t>
  </si>
  <si>
    <t>सब्जी-रोटी</t>
  </si>
  <si>
    <t>खिचड़ी सब्जीयुक्त</t>
  </si>
  <si>
    <t>एमडीएम दाल मात्रा प्रति छात्र (ग्राम में)</t>
  </si>
  <si>
    <t>खाली बोरियां</t>
  </si>
  <si>
    <t>दाल 1-5</t>
  </si>
  <si>
    <t>दाल 6-8</t>
  </si>
  <si>
    <t>मई 2019</t>
  </si>
  <si>
    <t>SMC बैठक तिथि</t>
  </si>
  <si>
    <t>SMC बैठक तिथि-</t>
  </si>
  <si>
    <t>अन्य से प्राप्त या दी गयी (+/-)</t>
  </si>
  <si>
    <t>माह,वर्ष</t>
  </si>
  <si>
    <t xml:space="preserve">, </t>
  </si>
  <si>
    <t>संस्था प्रधान का नाम</t>
  </si>
  <si>
    <t>कुक कम हेल्पर के नाम</t>
  </si>
  <si>
    <t>दुग्ध (लीटर में)</t>
  </si>
  <si>
    <t>खाद्यान्न अन्यत्र से प्राप्त / दिया (किग्रा में) दिया गया तो (-) में लिखें</t>
  </si>
  <si>
    <t>खाद्यान्न भोजन बनाने में खर्च (किग्रा में)</t>
  </si>
  <si>
    <t>खाद्यान्न सप्लायर से प्राप्त (किग्रा में)</t>
  </si>
  <si>
    <t>खाद्यान्न प्रारम्भिक शेष (किग्रा में)</t>
  </si>
  <si>
    <t>प्रारम्भिक शेष राशि</t>
  </si>
  <si>
    <t>माह, वर्ष</t>
  </si>
  <si>
    <t>दाल प्रारम्भिक शेष प्राप्त (किग्रा में)</t>
  </si>
  <si>
    <t>दाल अन्यत्र से प्राप्त / दिया (किग्रा में) दिया गया तो (-) में लिखें</t>
  </si>
  <si>
    <t>दाल भोजन बनाने में खर्च (किग्रा में)</t>
  </si>
  <si>
    <t>दाल सप्लायर से प्राप्त (किग्रा में)</t>
  </si>
  <si>
    <t>चार दीवारी</t>
  </si>
  <si>
    <t>दिनांक</t>
  </si>
  <si>
    <t>निर्धारित मीनू</t>
  </si>
  <si>
    <t>लाभान्वित संख्या</t>
  </si>
  <si>
    <t>खाद्यान्न</t>
  </si>
  <si>
    <t>दूध</t>
  </si>
  <si>
    <t>Mon</t>
  </si>
  <si>
    <t>Tue</t>
  </si>
  <si>
    <t>Wed</t>
  </si>
  <si>
    <t>Thu</t>
  </si>
  <si>
    <t>Fri</t>
  </si>
  <si>
    <t>Sat</t>
  </si>
  <si>
    <t>खिचड़ी-सब्जी</t>
  </si>
  <si>
    <t>DD-MM-YYYY</t>
  </si>
  <si>
    <t>अवकाश या अन्य विवरण</t>
  </si>
  <si>
    <t>1 से अधिक दिनों का एक ही तरह का अवकाश होने पर प्रत्येक दिनांक का विवरण अलग-अलग लिखें</t>
  </si>
  <si>
    <t>Sun</t>
  </si>
  <si>
    <t>YES</t>
  </si>
  <si>
    <t>Y</t>
  </si>
  <si>
    <t>यदि मीनू बदला है तो Y के कॉलम में "YES" लिखकर आगे कॉलम में मीनू चयन</t>
  </si>
  <si>
    <t>गेहूँ</t>
  </si>
  <si>
    <t>किससे प्राप्त</t>
  </si>
  <si>
    <t>प्राप्त खाद्यान्न</t>
  </si>
  <si>
    <t>भोजन बनाने में व्यय खाद्यान्न</t>
  </si>
  <si>
    <t>अन्य को दिया खाद्यान्न</t>
  </si>
  <si>
    <t>दुग्ध विवरण</t>
  </si>
  <si>
    <t>उपयोग दूध की मात्रा (ली.)</t>
  </si>
  <si>
    <t>भोजन बनाने में व्यय दाल</t>
  </si>
  <si>
    <t>प्राप्त दाल</t>
  </si>
  <si>
    <t>दाल का विवरण</t>
  </si>
  <si>
    <t>प्रारम्भिक शेष</t>
  </si>
  <si>
    <t>अंतिम अधिशेष</t>
  </si>
  <si>
    <t>खाद्यान्न का विवरण</t>
  </si>
  <si>
    <t>एमडीएम मासिक प्रपत्र</t>
  </si>
  <si>
    <t xml:space="preserve"> --कक्षा समूह चयन करें-- </t>
  </si>
  <si>
    <t xml:space="preserve"> --माह चयन करें-- </t>
  </si>
  <si>
    <t>कक्षा 1  से 5</t>
  </si>
  <si>
    <t>कक्षा स्तर</t>
  </si>
  <si>
    <t>दाल सप्लाई हाँ/नहीं</t>
  </si>
  <si>
    <t>1-8</t>
  </si>
  <si>
    <t>1-10</t>
  </si>
  <si>
    <t>6-10</t>
  </si>
  <si>
    <t>9-10</t>
  </si>
  <si>
    <t>1-12</t>
  </si>
  <si>
    <t>6-12</t>
  </si>
  <si>
    <t>9-12</t>
  </si>
  <si>
    <t>11-12</t>
  </si>
  <si>
    <t>1</t>
  </si>
  <si>
    <t>2</t>
  </si>
  <si>
    <t>3</t>
  </si>
  <si>
    <t>4</t>
  </si>
  <si>
    <t>5</t>
  </si>
  <si>
    <t>6</t>
  </si>
  <si>
    <t>7</t>
  </si>
  <si>
    <t>8</t>
  </si>
  <si>
    <t>9</t>
  </si>
  <si>
    <t>10</t>
  </si>
  <si>
    <t>0</t>
  </si>
  <si>
    <t>संस्था प्रधान का मोबाईल न.</t>
  </si>
  <si>
    <t>नाकारा</t>
  </si>
  <si>
    <t>11</t>
  </si>
  <si>
    <t>12</t>
  </si>
  <si>
    <t>V</t>
  </si>
  <si>
    <t>M</t>
  </si>
  <si>
    <t>K</t>
  </si>
  <si>
    <t>SUN</t>
  </si>
  <si>
    <t>MUN</t>
  </si>
  <si>
    <t>TUE</t>
  </si>
  <si>
    <t>WED</t>
  </si>
  <si>
    <t>THU</t>
  </si>
  <si>
    <t>FRI</t>
  </si>
  <si>
    <t>SAT</t>
  </si>
  <si>
    <t>प्राप्ति या अन्य को दिया विवरण (किलोग्राम में)-अन्य को दिया तो (-) में लिखें</t>
  </si>
  <si>
    <t>योग---</t>
  </si>
  <si>
    <t>दाल रहित</t>
  </si>
  <si>
    <t>दाल सहित</t>
  </si>
  <si>
    <t>A</t>
  </si>
  <si>
    <t>B</t>
  </si>
  <si>
    <t>C</t>
  </si>
  <si>
    <t>D</t>
  </si>
  <si>
    <t>E</t>
  </si>
  <si>
    <t>F</t>
  </si>
  <si>
    <t>G</t>
  </si>
  <si>
    <t>H</t>
  </si>
  <si>
    <t>J</t>
  </si>
  <si>
    <t>I</t>
  </si>
  <si>
    <t>N</t>
  </si>
  <si>
    <t>L</t>
  </si>
  <si>
    <t>सत्र प्रारम्भ में</t>
  </si>
  <si>
    <t>खाली</t>
  </si>
  <si>
    <t>बेची</t>
  </si>
  <si>
    <t>शेष</t>
  </si>
  <si>
    <t>अन्य विद्यालय</t>
  </si>
  <si>
    <t>अन्य कक्षा ग्रुप</t>
  </si>
  <si>
    <t>योग ----</t>
  </si>
  <si>
    <t>जिला-</t>
  </si>
  <si>
    <t>ब्लॉक-</t>
  </si>
  <si>
    <t>ग्राम पंचायत-</t>
  </si>
  <si>
    <t>ü</t>
  </si>
  <si>
    <t>हस्ताक्षर संस्था प्रधान</t>
  </si>
  <si>
    <t>फल</t>
  </si>
  <si>
    <t>दर</t>
  </si>
  <si>
    <t>रकम</t>
  </si>
  <si>
    <t>तेल</t>
  </si>
  <si>
    <t>मूंग दाल</t>
  </si>
  <si>
    <t>उड़द दाल</t>
  </si>
  <si>
    <t>चना दाल</t>
  </si>
  <si>
    <t>लाल मिर्च</t>
  </si>
  <si>
    <t>हल्दी</t>
  </si>
  <si>
    <t>धनिया</t>
  </si>
  <si>
    <t>नमक</t>
  </si>
  <si>
    <t>पिसाई</t>
  </si>
  <si>
    <t>ईधन</t>
  </si>
  <si>
    <t>मात्रा</t>
  </si>
  <si>
    <t>मात्रा (किलोग्राम में),       दर (प्रति किलोग्राम)         एवं  रकम (रुपये.पैसे में)</t>
  </si>
  <si>
    <t>सप्ताह में एक बार फल वितरण का वार-</t>
  </si>
  <si>
    <t>फल-1</t>
  </si>
  <si>
    <t>फल-2</t>
  </si>
  <si>
    <t>फल-3</t>
  </si>
  <si>
    <t>फल-4</t>
  </si>
  <si>
    <t>फल-5</t>
  </si>
  <si>
    <t>प्राप्त</t>
  </si>
  <si>
    <t>व्यय</t>
  </si>
  <si>
    <t>अन्तर</t>
  </si>
  <si>
    <t>सब्जी</t>
  </si>
  <si>
    <t>टेगोर जयंती</t>
  </si>
  <si>
    <t>प्याज</t>
  </si>
  <si>
    <t>टमाटर</t>
  </si>
  <si>
    <t>आलू</t>
  </si>
  <si>
    <t>गोभी</t>
  </si>
  <si>
    <t>लोकी</t>
  </si>
  <si>
    <t>जीरा</t>
  </si>
  <si>
    <t>विवरण</t>
  </si>
  <si>
    <t>मात्रा (Kg)</t>
  </si>
  <si>
    <t>V.N.-</t>
  </si>
  <si>
    <t>Date-</t>
  </si>
  <si>
    <t>योग --</t>
  </si>
  <si>
    <t>किराणा फर्म का विवरण</t>
  </si>
  <si>
    <t>फर्म का नाम</t>
  </si>
  <si>
    <t>क्रय किये गये फलों के नाम</t>
  </si>
  <si>
    <t>फल फर्म का विवरण</t>
  </si>
  <si>
    <t>सब्जी फर्म का विवरण</t>
  </si>
  <si>
    <t>पिसाई फर्म का विवरण</t>
  </si>
  <si>
    <t>ईंधन/गैस फर्म का विवरण</t>
  </si>
  <si>
    <t>दुग्ध फर्म का विवरण</t>
  </si>
  <si>
    <t>सभी विवरण GOOGLE INPUT TOOLS से हिन्दी में लिखें</t>
  </si>
  <si>
    <t xml:space="preserve">माह- </t>
  </si>
  <si>
    <t xml:space="preserve"> में MDM मद में क्रय की किराणा सामग्री</t>
  </si>
  <si>
    <t xml:space="preserve"> में MDM मद में क्रय किये गये फलों का विवरण</t>
  </si>
  <si>
    <t xml:space="preserve"> में MDM मद में क्रय की गयी सब्जियों का विवरण</t>
  </si>
  <si>
    <t xml:space="preserve"> में MDM मद में गेहूँ पिसाई का विवरण</t>
  </si>
  <si>
    <t xml:space="preserve"> में MDM मद में क्रय की LPG/लकड़ी का विवरण</t>
  </si>
  <si>
    <t xml:space="preserve"> में दुग्ध मद में क्रय किया गया दूध का विवरण</t>
  </si>
  <si>
    <t>PAID &amp; VERIFIED</t>
  </si>
  <si>
    <t>गेहूँ पिसाई</t>
  </si>
  <si>
    <t>LPG गैस</t>
  </si>
  <si>
    <t>दूध 6-8</t>
  </si>
  <si>
    <t>दूध 1-5</t>
  </si>
  <si>
    <t>हस्ताक्षर प्राप्तकर्ता</t>
  </si>
  <si>
    <t>हस्ताक्षर प्रमाणितकर्ता मय मोहर</t>
  </si>
  <si>
    <t xml:space="preserve">      प्रमाणित किया जाता है कि उपरोक्त बिल रकम की जाँच कर भुगतान कर दिया गया है तथा MDM रोकड़बही के पृष्ठ संख्या       पर इन्द्राज कर लिया गया है|</t>
  </si>
  <si>
    <t>कुक कम हेल्पर मानदेय भुगतान पत्रक</t>
  </si>
  <si>
    <t>अन्नपूर्णा दुग्ध योजना भुगतान पत्रक</t>
  </si>
  <si>
    <t>मिड-डे-मील सामग्री भुगतान पत्रक</t>
  </si>
  <si>
    <t>स्थान</t>
  </si>
  <si>
    <t>वाउचर नम्बर-</t>
  </si>
  <si>
    <t>भुगतान का विवरण</t>
  </si>
  <si>
    <t>प्रकृति</t>
  </si>
  <si>
    <t>नाम</t>
  </si>
  <si>
    <t>फर्म/दुकान/व्यक्ति का विवरण</t>
  </si>
  <si>
    <t>प्राप्तकर्ता हस्ताक्षर</t>
  </si>
  <si>
    <t>भुगतान तिथि-</t>
  </si>
  <si>
    <t>रोकड़</t>
  </si>
  <si>
    <t>चैक</t>
  </si>
  <si>
    <t>रोकड़/ चैक</t>
  </si>
  <si>
    <t>चैक संख्या</t>
  </si>
  <si>
    <t>योग ---</t>
  </si>
  <si>
    <t xml:space="preserve">  प्रमाणित किया जाता है कि उपरोक्त रकम की जाँच कर भुगतान कर दिया गया है तथा MDM रोकड़बही के पृष्ठ संख्या            पर इन्द्राज कर लिया गया है|</t>
  </si>
  <si>
    <t>किराणा सामग्री</t>
  </si>
  <si>
    <t>ईंधन</t>
  </si>
  <si>
    <t>कुक कम हेल्पर का नाम</t>
  </si>
  <si>
    <t>पिता/पति का नाम</t>
  </si>
  <si>
    <t>लिंग</t>
  </si>
  <si>
    <t>वर्ग</t>
  </si>
  <si>
    <t>कब से</t>
  </si>
  <si>
    <t>कब तक</t>
  </si>
  <si>
    <t>MALE</t>
  </si>
  <si>
    <t>FEMALE</t>
  </si>
  <si>
    <t>GEN</t>
  </si>
  <si>
    <t>OBC</t>
  </si>
  <si>
    <t>SBC</t>
  </si>
  <si>
    <t>SC</t>
  </si>
  <si>
    <t>ST</t>
  </si>
  <si>
    <t>APS</t>
  </si>
  <si>
    <t>इस सत्र में कार्य करने वाले समस्त कुक कम हेल्पर का विवरण भरें</t>
  </si>
  <si>
    <t>निवासी</t>
  </si>
  <si>
    <t xml:space="preserve"> ---खाद्यान्न स्टॉक की स्थिति--- </t>
  </si>
  <si>
    <t xml:space="preserve"> ------------------वित्तीय स्थिति------------------ </t>
  </si>
  <si>
    <t>मिड-डे-मील योजना</t>
  </si>
  <si>
    <t>अन्नपूर्णा दुग्ध योजना</t>
  </si>
  <si>
    <t xml:space="preserve"> / </t>
  </si>
  <si>
    <t>मानदेय</t>
  </si>
  <si>
    <t>HOME-SHEET</t>
  </si>
  <si>
    <t xml:space="preserve"> ---इस EXCEL SHEET में 1 सत्र (12 महीनों) का MDM की माहवार रिपोर्ट तैयार करने हेतु निम्न निर्देशों की पालना करें--- </t>
  </si>
  <si>
    <t>इसमें माह, वर्ष, मीनू एवं दर व मात्रा में परिवर्तन कर सकते हैं|</t>
  </si>
  <si>
    <t>नोट:- हिन्दी में चाही गई सूचनाएं GOOGLE INPUT TOOL से हिन्दी चयन करके भरें|</t>
  </si>
  <si>
    <t>PROFILE-SHEET</t>
  </si>
  <si>
    <t>विद्यालय से संबधित सभी सूचनाएं पहली ROW में भरें, अन्य ROWS में सूचनाएं स्वत: FILL हो जायेगी|</t>
  </si>
  <si>
    <t>यदि किसी माह की डाटा में बदलाव हुआ हो तो संबधित माह की ROW में डाटा में सुधार अवश्य करें|</t>
  </si>
  <si>
    <t>STATUS-SHEET</t>
  </si>
  <si>
    <t>साथ में वित्तीय स्थिति में 2  या उससे माह की रकम बकाया होने पर लाल रंग, 1 माह की रकम बकाया होने पर पीला रंग एवं बकाया नहीं होने पर हरा रंग प्रदर्शित होगा|</t>
  </si>
  <si>
    <t>खाद्यान्न स्थिति में 2 माह की आवश्यकता से अधिक होने पर हरा रंग, 1 माह की आवश्यकता से अधिक होने पर पीला रंग एवं 1 माह की आवश्यकता से कम होने पर लाल रंग प्रदर्शित होगा|</t>
  </si>
  <si>
    <t>इस SHEET में वर्ष में कार्य करने वाले सभी कुक कम हेल्पर का विवरण भरना है|</t>
  </si>
  <si>
    <t>AWAKASH-SHEET</t>
  </si>
  <si>
    <t>इस SHEET में संबधित माह के नीचे दिनांक (DD-MM-YYYY) व अवकाश (जिस दिन मध्यान्ह भोजन नहीं बनाया गया) विवरण भरना है|</t>
  </si>
  <si>
    <t>DALLY-SHEET</t>
  </si>
  <si>
    <t>STUDENT-SHEET</t>
  </si>
  <si>
    <t>DATA-SHEET</t>
  </si>
  <si>
    <t>PAYMENT-SHEET</t>
  </si>
  <si>
    <t>REGISTER-SHEET</t>
  </si>
  <si>
    <t>MONTHLY-SHEET</t>
  </si>
  <si>
    <t>SAMEKIT-SHEET</t>
  </si>
  <si>
    <t>BILL-SHEET</t>
  </si>
  <si>
    <t>PARCHAGE-SHEET</t>
  </si>
  <si>
    <t>BHUGTAN-SHEET</t>
  </si>
  <si>
    <t>यदि किसी दिनांक को निर्धारित मीनू से अलग मीनू बनाया है तो संबंधित दिनांक के निर्धारित मीनू के आगे वाले कॉलम में YES लिखकर उसके आगे वाले कॉलम में मीनू चयन करें|</t>
  </si>
  <si>
    <t>संबधित कार्य दिवस (जिस दिन मध्यान्ह भोजन बनाया गया) को नामांकन, लाभान्वित (खाद्यान्न, दूध, दाल(यदि विभाग द्वारा सप्लाई हो)) संख्या भरी जाए|</t>
  </si>
  <si>
    <t>इस SHEET में संबधित माह के आगे उस माह में कार्यरत कुक कम हेल्पर के नाम चयन करें|</t>
  </si>
  <si>
    <t>फिर संबधित माह के आगे उस माह में आयोजित SMC बैठक की दिनांक (DD-MM-YYYY) लिखें, यदि आयोजित नहीं हुई संबधित कॉलम रिक्त रखें|</t>
  </si>
  <si>
    <t>अंत में खाली बोरियां के कॉलम में छोटे सफ़ेद बॉक्स में सत्रारंभ की खाली बोरियां का स्टॉक लिखें तथा नीचे बेची गई बोरियां की संख्या लिखें|</t>
  </si>
  <si>
    <t>यदि किसी दिनांक को खाद्यान्न, दूध, दाल(यदि विभाग द्वारा सप्लाई हो) को प्राप्त हुआ या दिया (-) हो संबधित दिनांक को संबधित कॉलम              किलोग्राम (जैसे-205.500) में लिखें|</t>
  </si>
  <si>
    <t>इस SHEET में सत्र के आरम्भ के माह के आगे खाद्यान्न,  दाल(यदि विभाग द्वारा सप्लाई हो) सत्रारंभ का स्टॉक किलोग्राम (जैसे-205.500) में लिखें|</t>
  </si>
  <si>
    <t>इस SHEET में सत्र के आरम्भ के माह के आगे MDM, CCH व दुग्ध योजना की सत्रारंभ की अधिशेष राशि (+/-) में लिखें तथा प्रत्येक माह में प्राप्त राशि लिखें|</t>
  </si>
  <si>
    <t>इस SHEET में ऊपर पहले कक्षा समूह चयन करके फिर माह चयन कर दैनिक रजिस्टर प्रिंट करें|</t>
  </si>
  <si>
    <t>इस SHEET में ऊपर माह चयन कर मासिक रिपोर्ट प्रिंट करें|</t>
  </si>
  <si>
    <t>इस SHEET में MONTHLY-SHEET में चयनित माह की समेकित रिपोर्ट तैयार होगी, जिसको प्रिंट कर सकते है|</t>
  </si>
  <si>
    <t>इस SHEET में MONTHLY-SHEET में चयनित माह सभी बिल तैयार होगें, जिसको प्रिंट कर सकते है|</t>
  </si>
  <si>
    <t>इस SHEET में सभी बिल तैयार करने हेतु सामग्री क्रय की फर्म के नाम व स्थान तथा मौसमी फलों के नाम लिखें |</t>
  </si>
  <si>
    <t>इस SHEET में MONTHLY-SHEET में चयनित माह के भुगतान पत्रक (MDM, CCH व दुग्ध ऊपर चयन करके) तैयार कर प्रिंट करें|</t>
  </si>
  <si>
    <t xml:space="preserve"> </t>
  </si>
  <si>
    <t>खाद्यान प्रति छात्र (ग्राम में)</t>
  </si>
  <si>
    <t>रोकड़/चैक के कॉलम में रोकड़/चैक चयन करें|</t>
  </si>
  <si>
    <t>यदि चैक से भुगतान किया तो चैक संख्या लिखकर प्रिंट करें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</si>
</sst>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14009]dd\-mm\-yyyy;@"/>
    <numFmt numFmtId="166" formatCode="[$-14009]dd\-mm\-yy;@"/>
    <numFmt numFmtId="167" formatCode="ddd"/>
    <numFmt numFmtId="168" formatCode="0.0"/>
  </numFmts>
  <fonts count="215" x14ac:knownFonts="1">
    <font>
      <sz val="11"/>
      <color theme="1"/>
      <name val="Calibri"/>
      <family val="2"/>
      <scheme val="minor"/>
    </font>
    <font>
      <sz val="11"/>
      <color theme="1"/>
      <name val="Mangal"/>
      <family val="1"/>
    </font>
    <font>
      <sz val="14"/>
      <color theme="1"/>
      <name val="Mangal"/>
      <family val="1"/>
    </font>
    <font>
      <sz val="12"/>
      <color theme="1"/>
      <name val="Mangal"/>
      <family val="1"/>
    </font>
    <font>
      <b/>
      <sz val="12"/>
      <color theme="1"/>
      <name val="Mangal"/>
      <family val="1"/>
    </font>
    <font>
      <b/>
      <sz val="14"/>
      <color theme="1"/>
      <name val="Calibri"/>
      <family val="2"/>
      <scheme val="minor"/>
    </font>
    <font>
      <b/>
      <sz val="11"/>
      <color theme="1"/>
      <name val="Calibri"/>
      <family val="2"/>
      <scheme val="minor"/>
    </font>
    <font>
      <b/>
      <sz val="14"/>
      <color rgb="FFFFFF00"/>
      <name val="Calibri"/>
      <family val="2"/>
      <scheme val="minor"/>
    </font>
    <font>
      <b/>
      <sz val="14"/>
      <color rgb="FFFF99FF"/>
      <name val="Calibri"/>
      <family val="2"/>
      <scheme val="minor"/>
    </font>
    <font>
      <b/>
      <sz val="12"/>
      <color theme="1"/>
      <name val="Arial"/>
      <family val="2"/>
    </font>
    <font>
      <sz val="12"/>
      <color theme="1"/>
      <name val="Arial"/>
      <family val="2"/>
    </font>
    <font>
      <b/>
      <sz val="14"/>
      <color theme="0"/>
      <name val="Calibri"/>
      <family val="2"/>
      <scheme val="minor"/>
    </font>
    <font>
      <b/>
      <sz val="14"/>
      <color rgb="FF00FFFF"/>
      <name val="Calibri"/>
      <family val="2"/>
      <scheme val="minor"/>
    </font>
    <font>
      <b/>
      <sz val="14"/>
      <color rgb="FF99FF33"/>
      <name val="Calibri"/>
      <family val="2"/>
      <scheme val="minor"/>
    </font>
    <font>
      <b/>
      <sz val="16"/>
      <color rgb="FFFFFF00"/>
      <name val="Calibri"/>
      <family val="2"/>
      <scheme val="minor"/>
    </font>
    <font>
      <b/>
      <sz val="16"/>
      <color theme="0"/>
      <name val="Calibri"/>
      <family val="2"/>
      <scheme val="minor"/>
    </font>
    <font>
      <b/>
      <sz val="16"/>
      <color theme="9" tint="0.39997558519241921"/>
      <name val="Calibri"/>
      <family val="2"/>
      <scheme val="minor"/>
    </font>
    <font>
      <b/>
      <sz val="14"/>
      <color theme="9" tint="0.39997558519241921"/>
      <name val="Calibri"/>
      <family val="2"/>
      <scheme val="minor"/>
    </font>
    <font>
      <b/>
      <sz val="12"/>
      <color rgb="FF99FF33"/>
      <name val="Calibri"/>
      <family val="2"/>
      <scheme val="minor"/>
    </font>
    <font>
      <b/>
      <sz val="14"/>
      <color theme="1"/>
      <name val="Mangal"/>
      <family val="1"/>
    </font>
    <font>
      <b/>
      <sz val="12"/>
      <color rgb="FFC00000"/>
      <name val="Mangal"/>
      <family val="1"/>
    </font>
    <font>
      <sz val="10"/>
      <color theme="1"/>
      <name val="Mangal"/>
      <family val="1"/>
    </font>
    <font>
      <sz val="10"/>
      <color theme="1"/>
      <name val="Arial"/>
      <family val="2"/>
    </font>
    <font>
      <b/>
      <sz val="12"/>
      <color rgb="FF7030A0"/>
      <name val="Mangal"/>
      <family val="1"/>
    </font>
    <font>
      <b/>
      <sz val="12"/>
      <color rgb="FFCC0099"/>
      <name val="Mangal"/>
      <family val="1"/>
    </font>
    <font>
      <sz val="14"/>
      <color theme="5" tint="-0.499984740745262"/>
      <name val="Arial"/>
      <family val="2"/>
    </font>
    <font>
      <b/>
      <sz val="14"/>
      <color theme="5" tint="-0.499984740745262"/>
      <name val="Arial"/>
      <family val="2"/>
    </font>
    <font>
      <sz val="14"/>
      <color rgb="FF0000CC"/>
      <name val="Arial"/>
      <family val="2"/>
    </font>
    <font>
      <b/>
      <sz val="14"/>
      <color rgb="FF0000CC"/>
      <name val="Arial"/>
      <family val="2"/>
    </font>
    <font>
      <sz val="14"/>
      <color rgb="FF006600"/>
      <name val="Arial"/>
      <family val="2"/>
    </font>
    <font>
      <b/>
      <sz val="14"/>
      <color rgb="FF006600"/>
      <name val="Arial"/>
      <family val="2"/>
    </font>
    <font>
      <sz val="14"/>
      <color rgb="FFC00000"/>
      <name val="Arial"/>
      <family val="2"/>
    </font>
    <font>
      <b/>
      <sz val="14"/>
      <color rgb="FFC00000"/>
      <name val="Arial"/>
      <family val="2"/>
    </font>
    <font>
      <b/>
      <sz val="12"/>
      <color rgb="FF0000CC"/>
      <name val="Mangal"/>
      <family val="1"/>
    </font>
    <font>
      <b/>
      <sz val="12"/>
      <color rgb="FF006600"/>
      <name val="Mangal"/>
      <family val="1"/>
    </font>
    <font>
      <b/>
      <sz val="12"/>
      <color theme="5" tint="-0.499984740745262"/>
      <name val="Mangal"/>
      <family val="1"/>
    </font>
    <font>
      <b/>
      <sz val="12"/>
      <color rgb="FFC00000"/>
      <name val="Arial"/>
      <family val="2"/>
    </font>
    <font>
      <sz val="10"/>
      <color theme="1"/>
      <name val="Calibri"/>
      <family val="2"/>
      <scheme val="minor"/>
    </font>
    <font>
      <b/>
      <sz val="11"/>
      <color theme="1"/>
      <name val="Arial"/>
      <family val="2"/>
    </font>
    <font>
      <b/>
      <sz val="12"/>
      <color theme="1"/>
      <name val="Calibri"/>
      <family val="2"/>
      <scheme val="minor"/>
    </font>
    <font>
      <b/>
      <sz val="10"/>
      <color theme="1"/>
      <name val="Calibri"/>
      <family val="2"/>
      <scheme val="minor"/>
    </font>
    <font>
      <sz val="14"/>
      <color theme="1"/>
      <name val="Arial"/>
      <family val="2"/>
    </font>
    <font>
      <b/>
      <sz val="14"/>
      <color theme="8" tint="-0.499984740745262"/>
      <name val="Calibri"/>
      <family val="2"/>
      <scheme val="minor"/>
    </font>
    <font>
      <b/>
      <sz val="14"/>
      <color theme="9" tint="-0.499984740745262"/>
      <name val="Calibri"/>
      <family val="2"/>
      <scheme val="minor"/>
    </font>
    <font>
      <b/>
      <sz val="14"/>
      <color theme="5" tint="0.59999389629810485"/>
      <name val="Calibri"/>
      <family val="2"/>
      <scheme val="minor"/>
    </font>
    <font>
      <b/>
      <sz val="14"/>
      <color theme="6" tint="0.39997558519241921"/>
      <name val="Calibri"/>
      <family val="2"/>
      <scheme val="minor"/>
    </font>
    <font>
      <b/>
      <sz val="14"/>
      <color theme="5" tint="-0.499984740745262"/>
      <name val="Calibri"/>
      <family val="2"/>
      <scheme val="minor"/>
    </font>
    <font>
      <b/>
      <sz val="14"/>
      <color theme="6" tint="-0.499984740745262"/>
      <name val="Calibri"/>
      <family val="2"/>
      <scheme val="minor"/>
    </font>
    <font>
      <b/>
      <sz val="14"/>
      <color theme="3" tint="0.79998168889431442"/>
      <name val="Calibri"/>
      <family val="2"/>
      <scheme val="minor"/>
    </font>
    <font>
      <b/>
      <sz val="14"/>
      <color rgb="FF006600"/>
      <name val="Calibri"/>
      <family val="2"/>
      <scheme val="minor"/>
    </font>
    <font>
      <b/>
      <sz val="14"/>
      <color rgb="FF0000CC"/>
      <name val="Calibri"/>
      <family val="2"/>
      <scheme val="minor"/>
    </font>
    <font>
      <b/>
      <sz val="18"/>
      <color rgb="FFFFFF00"/>
      <name val="Calibri"/>
      <family val="2"/>
      <scheme val="minor"/>
    </font>
    <font>
      <b/>
      <sz val="14"/>
      <color rgb="FFCC0099"/>
      <name val="Arial"/>
      <family val="2"/>
    </font>
    <font>
      <b/>
      <sz val="12"/>
      <color rgb="FFFFCCFF"/>
      <name val="Calibri"/>
      <family val="2"/>
      <scheme val="minor"/>
    </font>
    <font>
      <b/>
      <sz val="12"/>
      <color rgb="FF00FFFF"/>
      <name val="Calibri"/>
      <family val="2"/>
      <scheme val="minor"/>
    </font>
    <font>
      <b/>
      <sz val="11"/>
      <color rgb="FF99FF33"/>
      <name val="Calibri"/>
      <family val="2"/>
      <scheme val="minor"/>
    </font>
    <font>
      <b/>
      <sz val="12"/>
      <color theme="7" tint="0.39997558519241921"/>
      <name val="Calibri"/>
      <family val="2"/>
      <scheme val="minor"/>
    </font>
    <font>
      <b/>
      <sz val="14"/>
      <color rgb="FF7030A0"/>
      <name val="Arial"/>
      <family val="2"/>
    </font>
    <font>
      <b/>
      <sz val="14"/>
      <color theme="9" tint="-0.499984740745262"/>
      <name val="Arial"/>
      <family val="2"/>
    </font>
    <font>
      <b/>
      <sz val="14"/>
      <color theme="4" tint="-0.249977111117893"/>
      <name val="Arial"/>
      <family val="2"/>
    </font>
    <font>
      <b/>
      <sz val="12"/>
      <color theme="3" tint="0.59999389629810485"/>
      <name val="Calibri"/>
      <family val="2"/>
      <scheme val="minor"/>
    </font>
    <font>
      <b/>
      <sz val="12"/>
      <color theme="9" tint="0.59999389629810485"/>
      <name val="Calibri"/>
      <family val="2"/>
      <scheme val="minor"/>
    </font>
    <font>
      <b/>
      <sz val="14"/>
      <color theme="0"/>
      <name val="Arial"/>
      <family val="2"/>
    </font>
    <font>
      <b/>
      <sz val="12"/>
      <color theme="8" tint="-0.499984740745262"/>
      <name val="Mangal"/>
      <family val="1"/>
    </font>
    <font>
      <sz val="14"/>
      <color theme="8" tint="-0.499984740745262"/>
      <name val="Arial"/>
      <family val="2"/>
    </font>
    <font>
      <b/>
      <sz val="14"/>
      <color theme="8" tint="-0.499984740745262"/>
      <name val="Arial"/>
      <family val="2"/>
    </font>
    <font>
      <b/>
      <sz val="20"/>
      <color theme="1"/>
      <name val="Calibri"/>
      <family val="2"/>
      <scheme val="minor"/>
    </font>
    <font>
      <b/>
      <sz val="14"/>
      <color theme="1"/>
      <name val="Arial"/>
      <family val="2"/>
    </font>
    <font>
      <b/>
      <sz val="14"/>
      <color rgb="FF92D050"/>
      <name val="Calibri"/>
      <family val="2"/>
      <scheme val="minor"/>
    </font>
    <font>
      <b/>
      <sz val="16"/>
      <color rgb="FF92D050"/>
      <name val="Calibri"/>
      <family val="2"/>
      <scheme val="minor"/>
    </font>
    <font>
      <b/>
      <sz val="14"/>
      <color theme="7" tint="0.59999389629810485"/>
      <name val="Calibri"/>
      <family val="2"/>
      <scheme val="minor"/>
    </font>
    <font>
      <sz val="14"/>
      <color rgb="FFFFC000"/>
      <name val="Arial"/>
      <family val="2"/>
    </font>
    <font>
      <sz val="14"/>
      <color rgb="FF00FFFF"/>
      <name val="Arial"/>
      <family val="2"/>
    </font>
    <font>
      <sz val="14"/>
      <color rgb="FF92D050"/>
      <name val="Arial"/>
      <family val="2"/>
    </font>
    <font>
      <sz val="14"/>
      <color rgb="FFCC0099"/>
      <name val="Arial"/>
      <family val="2"/>
    </font>
    <font>
      <b/>
      <sz val="14"/>
      <color theme="0" tint="-0.249977111117893"/>
      <name val="Calibri"/>
      <family val="2"/>
      <scheme val="minor"/>
    </font>
    <font>
      <b/>
      <sz val="14"/>
      <color theme="8" tint="0.59999389629810485"/>
      <name val="Calibri"/>
      <family val="2"/>
      <scheme val="minor"/>
    </font>
    <font>
      <sz val="14"/>
      <color theme="1"/>
      <name val="Calibri"/>
      <family val="2"/>
      <scheme val="minor"/>
    </font>
    <font>
      <b/>
      <sz val="16"/>
      <color rgb="FFFF99FF"/>
      <name val="Calibri"/>
      <family val="2"/>
      <scheme val="minor"/>
    </font>
    <font>
      <b/>
      <sz val="16"/>
      <color rgb="FF00FFFF"/>
      <name val="Calibri"/>
      <family val="2"/>
      <scheme val="minor"/>
    </font>
    <font>
      <b/>
      <sz val="16"/>
      <color rgb="FFFF99FF"/>
      <name val="Mangal"/>
      <family val="1"/>
    </font>
    <font>
      <b/>
      <sz val="16"/>
      <color rgb="FF92D050"/>
      <name val="Mangal"/>
      <family val="1"/>
    </font>
    <font>
      <b/>
      <sz val="16"/>
      <color rgb="FF00FFFF"/>
      <name val="Mangal"/>
      <family val="1"/>
    </font>
    <font>
      <b/>
      <sz val="16"/>
      <color theme="0"/>
      <name val="Arial"/>
      <family val="2"/>
    </font>
    <font>
      <b/>
      <sz val="16"/>
      <color theme="7" tint="0.39997558519241921"/>
      <name val="Calibri"/>
      <family val="2"/>
      <scheme val="minor"/>
    </font>
    <font>
      <b/>
      <sz val="16"/>
      <color theme="7" tint="0.39997558519241921"/>
      <name val="Mangal"/>
      <family val="1"/>
    </font>
    <font>
      <sz val="14"/>
      <color rgb="FF7030A0"/>
      <name val="Arial"/>
      <family val="2"/>
    </font>
    <font>
      <sz val="14"/>
      <name val="Arial"/>
      <family val="2"/>
    </font>
    <font>
      <b/>
      <sz val="14"/>
      <name val="Arial"/>
      <family val="2"/>
    </font>
    <font>
      <b/>
      <sz val="14"/>
      <color rgb="FFFF99FF"/>
      <name val="Arial"/>
      <family val="2"/>
    </font>
    <font>
      <b/>
      <sz val="14"/>
      <color theme="7" tint="0.59999389629810485"/>
      <name val="Arial"/>
      <family val="2"/>
    </font>
    <font>
      <b/>
      <sz val="14"/>
      <color theme="0" tint="-0.249977111117893"/>
      <name val="Arial"/>
      <family val="2"/>
    </font>
    <font>
      <b/>
      <sz val="14"/>
      <color rgb="FF99FF33"/>
      <name val="Arial"/>
      <family val="2"/>
    </font>
    <font>
      <b/>
      <sz val="14"/>
      <color theme="5" tint="0.59999389629810485"/>
      <name val="Arial"/>
      <family val="2"/>
    </font>
    <font>
      <b/>
      <sz val="14"/>
      <color theme="4" tint="0.59999389629810485"/>
      <name val="Arial"/>
      <family val="2"/>
    </font>
    <font>
      <b/>
      <sz val="14"/>
      <color theme="8" tint="0.59999389629810485"/>
      <name val="Arial"/>
      <family val="2"/>
    </font>
    <font>
      <b/>
      <sz val="12"/>
      <color theme="8" tint="0.59999389629810485"/>
      <name val="Arial"/>
      <family val="2"/>
    </font>
    <font>
      <b/>
      <sz val="14"/>
      <color theme="9" tint="0.39997558519241921"/>
      <name val="Arial"/>
      <family val="2"/>
    </font>
    <font>
      <sz val="14"/>
      <color theme="3" tint="-0.249977111117893"/>
      <name val="Arial"/>
      <family val="2"/>
    </font>
    <font>
      <b/>
      <sz val="14"/>
      <color theme="3" tint="0.59999389629810485"/>
      <name val="Arial"/>
      <family val="2"/>
    </font>
    <font>
      <sz val="14"/>
      <color theme="9" tint="-0.499984740745262"/>
      <name val="Arial"/>
      <family val="2"/>
    </font>
    <font>
      <b/>
      <sz val="12"/>
      <color rgb="FF92D050"/>
      <name val="Calibri"/>
      <family val="2"/>
      <scheme val="minor"/>
    </font>
    <font>
      <sz val="11"/>
      <color theme="0"/>
      <name val="Calibri"/>
      <family val="2"/>
      <scheme val="minor"/>
    </font>
    <font>
      <sz val="14"/>
      <color theme="1"/>
      <name val="Engravers MT"/>
      <family val="1"/>
    </font>
    <font>
      <b/>
      <sz val="14"/>
      <color rgb="FF92D050"/>
      <name val="Arial"/>
      <family val="2"/>
    </font>
    <font>
      <b/>
      <sz val="14"/>
      <color rgb="FFFFFF00"/>
      <name val="Arial"/>
      <family val="2"/>
    </font>
    <font>
      <b/>
      <sz val="12"/>
      <color rgb="FFFFFF00"/>
      <name val="Arial"/>
      <family val="2"/>
    </font>
    <font>
      <b/>
      <sz val="14"/>
      <color theme="1"/>
      <name val="Algerian"/>
      <family val="5"/>
    </font>
    <font>
      <b/>
      <sz val="18"/>
      <color theme="0"/>
      <name val="Arial"/>
      <family val="2"/>
    </font>
    <font>
      <b/>
      <sz val="12"/>
      <color rgb="FF92D050"/>
      <name val="Arial"/>
      <family val="2"/>
    </font>
    <font>
      <b/>
      <sz val="14"/>
      <color theme="9" tint="-0.499984740745262"/>
      <name val="Algerian"/>
      <family val="5"/>
    </font>
    <font>
      <sz val="14"/>
      <color theme="9" tint="-0.499984740745262"/>
      <name val="Engravers MT"/>
      <family val="1"/>
    </font>
    <font>
      <b/>
      <sz val="12"/>
      <color theme="9" tint="0.39997558519241921"/>
      <name val="Arial"/>
      <family val="2"/>
    </font>
    <font>
      <b/>
      <sz val="14"/>
      <color rgb="FF00FFFF"/>
      <name val="Arial"/>
      <family val="2"/>
    </font>
    <font>
      <b/>
      <sz val="12"/>
      <color rgb="FF00FFFF"/>
      <name val="Arial"/>
      <family val="2"/>
    </font>
    <font>
      <b/>
      <sz val="12"/>
      <color rgb="FFFF99FF"/>
      <name val="Arial"/>
      <family val="2"/>
    </font>
    <font>
      <b/>
      <sz val="14"/>
      <color rgb="FF0000CC"/>
      <name val="Algerian"/>
      <family val="5"/>
    </font>
    <font>
      <sz val="14"/>
      <color rgb="FF0000CC"/>
      <name val="Engravers MT"/>
      <family val="1"/>
    </font>
    <font>
      <b/>
      <sz val="14"/>
      <color rgb="FF006600"/>
      <name val="Algerian"/>
      <family val="5"/>
    </font>
    <font>
      <sz val="14"/>
      <color rgb="FF006600"/>
      <name val="Engravers MT"/>
      <family val="1"/>
    </font>
    <font>
      <b/>
      <sz val="14"/>
      <color rgb="FF7030A0"/>
      <name val="Algerian"/>
      <family val="5"/>
    </font>
    <font>
      <sz val="14"/>
      <color rgb="FF7030A0"/>
      <name val="Engravers MT"/>
      <family val="1"/>
    </font>
    <font>
      <b/>
      <sz val="12"/>
      <color theme="4" tint="0.59999389629810485"/>
      <name val="Arial"/>
      <family val="2"/>
    </font>
    <font>
      <b/>
      <sz val="14"/>
      <color theme="5" tint="-0.499984740745262"/>
      <name val="Algerian"/>
      <family val="5"/>
    </font>
    <font>
      <sz val="14"/>
      <color theme="5" tint="-0.499984740745262"/>
      <name val="Engravers MT"/>
      <family val="1"/>
    </font>
    <font>
      <b/>
      <sz val="16"/>
      <color rgb="FFFFFF00"/>
      <name val="Arial"/>
      <family val="2"/>
    </font>
    <font>
      <b/>
      <sz val="9"/>
      <color rgb="FFFFFF00"/>
      <name val="Arial"/>
      <family val="2"/>
    </font>
    <font>
      <b/>
      <sz val="16"/>
      <color rgb="FF92D050"/>
      <name val="Arial"/>
      <family val="2"/>
    </font>
    <font>
      <b/>
      <sz val="9"/>
      <color rgb="FF92D050"/>
      <name val="Arial"/>
      <family val="2"/>
    </font>
    <font>
      <b/>
      <sz val="12"/>
      <color theme="5" tint="-0.499984740745262"/>
      <name val="Arial"/>
      <family val="2"/>
    </font>
    <font>
      <sz val="12"/>
      <color theme="5" tint="-0.499984740745262"/>
      <name val="Arial"/>
      <family val="2"/>
    </font>
    <font>
      <b/>
      <sz val="16"/>
      <color rgb="FF00FFFF"/>
      <name val="Arial"/>
      <family val="2"/>
    </font>
    <font>
      <b/>
      <sz val="9"/>
      <color rgb="FF00FFFF"/>
      <name val="Arial"/>
      <family val="2"/>
    </font>
    <font>
      <b/>
      <sz val="12"/>
      <color rgb="FF7030A0"/>
      <name val="Arial"/>
      <family val="2"/>
    </font>
    <font>
      <sz val="12"/>
      <color rgb="FF7030A0"/>
      <name val="Arial"/>
      <family val="2"/>
    </font>
    <font>
      <b/>
      <sz val="16"/>
      <color rgb="FFFF99FF"/>
      <name val="Arial"/>
      <family val="2"/>
    </font>
    <font>
      <b/>
      <sz val="9"/>
      <color rgb="FFFF99FF"/>
      <name val="Arial"/>
      <family val="2"/>
    </font>
    <font>
      <b/>
      <sz val="12"/>
      <color rgb="FF006600"/>
      <name val="Arial"/>
      <family val="2"/>
    </font>
    <font>
      <sz val="12"/>
      <color rgb="FF006600"/>
      <name val="Arial"/>
      <family val="2"/>
    </font>
    <font>
      <b/>
      <sz val="12"/>
      <color theme="9" tint="-0.499984740745262"/>
      <name val="Arial"/>
      <family val="2"/>
    </font>
    <font>
      <sz val="12"/>
      <color theme="9" tint="-0.499984740745262"/>
      <name val="Arial"/>
      <family val="2"/>
    </font>
    <font>
      <b/>
      <sz val="16"/>
      <color theme="9" tint="0.39997558519241921"/>
      <name val="Arial"/>
      <family val="2"/>
    </font>
    <font>
      <b/>
      <sz val="9"/>
      <color theme="9" tint="0.39997558519241921"/>
      <name val="Arial"/>
      <family val="2"/>
    </font>
    <font>
      <b/>
      <sz val="12"/>
      <color rgb="FF0000CC"/>
      <name val="Arial"/>
      <family val="2"/>
    </font>
    <font>
      <sz val="12"/>
      <color rgb="FF0000CC"/>
      <name val="Arial"/>
      <family val="2"/>
    </font>
    <font>
      <b/>
      <sz val="16"/>
      <color theme="3" tint="0.59999389629810485"/>
      <name val="Arial"/>
      <family val="2"/>
    </font>
    <font>
      <b/>
      <sz val="12"/>
      <color theme="3" tint="0.59999389629810485"/>
      <name val="Arial"/>
      <family val="2"/>
    </font>
    <font>
      <b/>
      <sz val="9"/>
      <color theme="3" tint="0.59999389629810485"/>
      <name val="Arial"/>
      <family val="2"/>
    </font>
    <font>
      <b/>
      <sz val="12"/>
      <color theme="0"/>
      <name val="Calibri"/>
      <family val="2"/>
      <scheme val="minor"/>
    </font>
    <font>
      <sz val="12"/>
      <color theme="0"/>
      <name val="Arial"/>
      <family val="2"/>
    </font>
    <font>
      <sz val="9"/>
      <color theme="0"/>
      <name val="Calibri"/>
      <family val="2"/>
      <scheme val="minor"/>
    </font>
    <font>
      <b/>
      <sz val="9"/>
      <color theme="0"/>
      <name val="Calibri"/>
      <family val="2"/>
      <scheme val="minor"/>
    </font>
    <font>
      <b/>
      <sz val="16"/>
      <name val="Arial"/>
      <family val="2"/>
    </font>
    <font>
      <sz val="11"/>
      <color theme="1"/>
      <name val="Arial"/>
      <family val="2"/>
    </font>
    <font>
      <b/>
      <sz val="24"/>
      <color theme="1"/>
      <name val="Arial"/>
      <family val="2"/>
    </font>
    <font>
      <b/>
      <sz val="12"/>
      <color theme="3" tint="0.79998168889431442"/>
      <name val="Calibri"/>
      <family val="2"/>
      <scheme val="minor"/>
    </font>
    <font>
      <b/>
      <sz val="12"/>
      <color theme="8" tint="0.59999389629810485"/>
      <name val="Calibri"/>
      <family val="2"/>
      <scheme val="minor"/>
    </font>
    <font>
      <sz val="12"/>
      <color theme="1"/>
      <name val="Algerian"/>
      <family val="5"/>
    </font>
    <font>
      <sz val="14"/>
      <color theme="0"/>
      <name val="Calibri"/>
      <family val="2"/>
      <scheme val="minor"/>
    </font>
    <font>
      <sz val="14"/>
      <color theme="9" tint="-0.499984740745262"/>
      <name val="Calibri"/>
      <family val="2"/>
      <scheme val="minor"/>
    </font>
    <font>
      <sz val="14"/>
      <color rgb="FF7030A0"/>
      <name val="Calibri"/>
      <family val="2"/>
      <scheme val="minor"/>
    </font>
    <font>
      <sz val="14"/>
      <color rgb="FF006600"/>
      <name val="Calibri"/>
      <family val="2"/>
      <scheme val="minor"/>
    </font>
    <font>
      <sz val="14"/>
      <color rgb="FF0000CC"/>
      <name val="Calibri"/>
      <family val="2"/>
      <scheme val="minor"/>
    </font>
    <font>
      <sz val="14"/>
      <color theme="5" tint="-0.499984740745262"/>
      <name val="Calibri"/>
      <family val="2"/>
      <scheme val="minor"/>
    </font>
    <font>
      <b/>
      <sz val="18"/>
      <color theme="1"/>
      <name val="Arial"/>
      <family val="2"/>
    </font>
    <font>
      <b/>
      <sz val="16"/>
      <color rgb="FF7030A0"/>
      <name val="Arial"/>
      <family val="2"/>
    </font>
    <font>
      <b/>
      <sz val="11"/>
      <color rgb="FF7030A0"/>
      <name val="Arial"/>
      <family val="2"/>
    </font>
    <font>
      <b/>
      <sz val="11"/>
      <color theme="5" tint="-0.499984740745262"/>
      <name val="Arial"/>
      <family val="2"/>
    </font>
    <font>
      <b/>
      <sz val="10"/>
      <color theme="5" tint="-0.499984740745262"/>
      <name val="Arial"/>
      <family val="2"/>
    </font>
    <font>
      <b/>
      <sz val="16"/>
      <color rgb="FF006600"/>
      <name val="Arial"/>
      <family val="2"/>
    </font>
    <font>
      <b/>
      <sz val="11"/>
      <color rgb="FF006600"/>
      <name val="Arial"/>
      <family val="2"/>
    </font>
    <font>
      <b/>
      <sz val="11"/>
      <color rgb="FF006600"/>
      <name val="Calibri"/>
      <family val="2"/>
      <scheme val="minor"/>
    </font>
    <font>
      <b/>
      <sz val="14"/>
      <color rgb="FFC00000"/>
      <name val="Calibri"/>
      <family val="2"/>
      <scheme val="minor"/>
    </font>
    <font>
      <b/>
      <sz val="12"/>
      <color rgb="FFC00000"/>
      <name val="Calibri"/>
      <family val="2"/>
      <scheme val="minor"/>
    </font>
    <font>
      <b/>
      <sz val="12"/>
      <color rgb="FF0000CC"/>
      <name val="Calibri"/>
      <family val="2"/>
      <scheme val="minor"/>
    </font>
    <font>
      <b/>
      <sz val="14"/>
      <color rgb="FFFFC000"/>
      <name val="Arial"/>
      <family val="2"/>
    </font>
    <font>
      <b/>
      <sz val="16"/>
      <color theme="1"/>
      <name val="Arial"/>
      <family val="2"/>
    </font>
    <font>
      <b/>
      <sz val="14"/>
      <color theme="7" tint="0.39997558519241921"/>
      <name val="Arial"/>
      <family val="2"/>
    </font>
    <font>
      <b/>
      <sz val="16"/>
      <color theme="1"/>
      <name val="Calibri"/>
      <family val="2"/>
      <scheme val="minor"/>
    </font>
    <font>
      <b/>
      <sz val="16"/>
      <color rgb="FFFF0000"/>
      <name val="Arial"/>
      <family val="2"/>
    </font>
    <font>
      <sz val="11"/>
      <color theme="1"/>
      <name val="Wingdings"/>
      <charset val="2"/>
    </font>
    <font>
      <b/>
      <sz val="20"/>
      <color theme="1"/>
      <name val="Wingdings"/>
      <charset val="2"/>
    </font>
    <font>
      <b/>
      <sz val="18"/>
      <color theme="1"/>
      <name val="Calibri"/>
      <family val="2"/>
      <scheme val="minor"/>
    </font>
    <font>
      <b/>
      <sz val="18"/>
      <color theme="0"/>
      <name val="Calibri"/>
      <family val="2"/>
      <scheme val="minor"/>
    </font>
    <font>
      <b/>
      <sz val="12"/>
      <color rgb="FFFF0000"/>
      <name val="Calibri"/>
      <family val="2"/>
      <scheme val="minor"/>
    </font>
    <font>
      <b/>
      <sz val="14"/>
      <color theme="9" tint="0.59999389629810485"/>
      <name val="Calibri"/>
      <family val="2"/>
      <scheme val="minor"/>
    </font>
    <font>
      <b/>
      <sz val="12"/>
      <color theme="5" tint="0.59999389629810485"/>
      <name val="Calibri"/>
      <family val="2"/>
      <scheme val="minor"/>
    </font>
    <font>
      <b/>
      <sz val="14"/>
      <color theme="4" tint="0.59999389629810485"/>
      <name val="Calibri"/>
      <family val="2"/>
      <scheme val="minor"/>
    </font>
    <font>
      <b/>
      <sz val="12"/>
      <color theme="4" tint="0.59999389629810485"/>
      <name val="Calibri"/>
      <family val="2"/>
      <scheme val="minor"/>
    </font>
    <font>
      <b/>
      <sz val="12"/>
      <color rgb="FFFF99FF"/>
      <name val="Calibri"/>
      <family val="2"/>
      <scheme val="minor"/>
    </font>
    <font>
      <b/>
      <sz val="12"/>
      <color theme="6" tint="0.39997558519241921"/>
      <name val="Calibri"/>
      <family val="2"/>
      <scheme val="minor"/>
    </font>
    <font>
      <b/>
      <sz val="14"/>
      <color theme="7" tint="0.39997558519241921"/>
      <name val="Calibri"/>
      <family val="2"/>
      <scheme val="minor"/>
    </font>
    <font>
      <sz val="12"/>
      <color rgb="FFCC0099"/>
      <name val="Arial"/>
      <family val="2"/>
    </font>
    <font>
      <sz val="14"/>
      <color theme="2" tint="-9.9978637043366805E-2"/>
      <name val="Arial"/>
      <family val="2"/>
    </font>
    <font>
      <b/>
      <sz val="14"/>
      <color theme="1"/>
      <name val="Times New Roman"/>
      <family val="1"/>
    </font>
    <font>
      <sz val="14"/>
      <color theme="1"/>
      <name val="Bodoni MT Black"/>
      <family val="1"/>
    </font>
    <font>
      <b/>
      <sz val="20"/>
      <color rgb="FFFFFF00"/>
      <name val="Calibri"/>
      <family val="2"/>
      <scheme val="minor"/>
    </font>
    <font>
      <b/>
      <sz val="20"/>
      <color theme="9" tint="0.39997558519241921"/>
      <name val="Calibri"/>
      <family val="2"/>
      <scheme val="minor"/>
    </font>
    <font>
      <b/>
      <sz val="18"/>
      <color rgb="FFCC0099"/>
      <name val="Calibri"/>
      <family val="2"/>
      <scheme val="minor"/>
    </font>
    <font>
      <b/>
      <sz val="18"/>
      <color rgb="FFFFFF00"/>
      <name val="Arial"/>
      <family val="2"/>
    </font>
    <font>
      <b/>
      <sz val="20"/>
      <color rgb="FFFFFF99"/>
      <name val="Imprint MT Shadow"/>
      <family val="5"/>
    </font>
    <font>
      <sz val="14"/>
      <color rgb="FFFF0000"/>
      <name val="Arial"/>
      <family val="2"/>
    </font>
    <font>
      <b/>
      <sz val="20"/>
      <color rgb="FF99FF33"/>
      <name val="Imprint MT Shadow"/>
      <family val="5"/>
    </font>
    <font>
      <b/>
      <sz val="20"/>
      <color rgb="FFFF99FF"/>
      <name val="Imprint MT Shadow"/>
      <family val="5"/>
    </font>
    <font>
      <b/>
      <sz val="20"/>
      <color rgb="FF00FFFF"/>
      <name val="Imprint MT Shadow"/>
      <family val="5"/>
    </font>
    <font>
      <b/>
      <sz val="20"/>
      <color rgb="FFFFFF00"/>
      <name val="Imprint MT Shadow"/>
      <family val="5"/>
    </font>
    <font>
      <b/>
      <sz val="20"/>
      <color theme="7" tint="0.59999389629810485"/>
      <name val="Imprint MT Shadow"/>
      <family val="5"/>
    </font>
    <font>
      <b/>
      <sz val="20"/>
      <color theme="9" tint="0.39997558519241921"/>
      <name val="Imprint MT Shadow"/>
      <family val="5"/>
    </font>
    <font>
      <b/>
      <sz val="20"/>
      <color theme="9" tint="-0.249977111117893"/>
      <name val="Imprint MT Shadow"/>
      <family val="5"/>
    </font>
    <font>
      <b/>
      <sz val="20"/>
      <color theme="6" tint="0.39997558519241921"/>
      <name val="Imprint MT Shadow"/>
      <family val="5"/>
    </font>
    <font>
      <b/>
      <sz val="20"/>
      <color rgb="FF92D050"/>
      <name val="Imprint MT Shadow"/>
      <family val="5"/>
    </font>
    <font>
      <sz val="14"/>
      <color rgb="FF00B0F0"/>
      <name val="Arial"/>
      <family val="2"/>
    </font>
    <font>
      <b/>
      <sz val="11"/>
      <color rgb="FF00FFFF"/>
      <name val="Calibri"/>
      <family val="2"/>
      <scheme val="minor"/>
    </font>
    <font>
      <b/>
      <sz val="11"/>
      <color theme="7" tint="0.39997558519241921"/>
      <name val="Calibri"/>
      <family val="2"/>
      <scheme val="minor"/>
    </font>
    <font>
      <b/>
      <sz val="14"/>
      <color rgb="FFFF0000"/>
      <name val="Calibri"/>
      <family val="2"/>
      <scheme val="minor"/>
    </font>
  </fonts>
  <fills count="37">
    <fill>
      <patternFill patternType="none"/>
    </fill>
    <fill>
      <patternFill patternType="gray125"/>
    </fill>
    <fill>
      <patternFill patternType="solid">
        <fgColor theme="1"/>
        <bgColor indexed="64"/>
      </patternFill>
    </fill>
    <fill>
      <patternFill patternType="solid">
        <fgColor theme="5" tint="-0.499984740745262"/>
        <bgColor indexed="64"/>
      </patternFill>
    </fill>
    <fill>
      <patternFill patternType="solid">
        <fgColor theme="9"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patternFill patternType="solid">
        <fgColor rgb="FF7030A0"/>
        <bgColor indexed="64"/>
      </patternFill>
    </fill>
    <fill>
      <patternFill patternType="solid">
        <fgColor theme="1"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006600"/>
        <bgColor indexed="64"/>
      </patternFill>
    </fill>
    <fill>
      <patternFill patternType="solid">
        <fgColor rgb="FFFFCCFF"/>
        <bgColor indexed="64"/>
      </patternFill>
    </fill>
    <fill>
      <patternFill patternType="solid">
        <fgColor rgb="FF0000CC"/>
        <bgColor indexed="64"/>
      </patternFill>
    </fill>
    <fill>
      <patternFill patternType="solid">
        <fgColor rgb="FFFFFF00"/>
        <bgColor indexed="64"/>
      </patternFill>
    </fill>
    <fill>
      <patternFill patternType="solid">
        <fgColor rgb="FFCCECFF"/>
        <bgColor indexed="64"/>
      </patternFill>
    </fill>
    <fill>
      <patternFill patternType="solid">
        <fgColor theme="2" tint="-9.9978637043366805E-2"/>
        <bgColor indexed="64"/>
      </patternFill>
    </fill>
    <fill>
      <patternFill patternType="solid">
        <fgColor theme="7"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theme="2" tint="-0.499984740745262"/>
        <bgColor indexed="64"/>
      </patternFill>
    </fill>
    <fill>
      <patternFill patternType="solid">
        <fgColor theme="6" tint="-0.499984740745262"/>
        <bgColor indexed="64"/>
      </patternFill>
    </fill>
    <fill>
      <patternFill patternType="solid">
        <fgColor rgb="FFCC0099"/>
        <bgColor indexed="64"/>
      </patternFill>
    </fill>
    <fill>
      <patternFill patternType="solid">
        <fgColor theme="3"/>
        <bgColor indexed="64"/>
      </patternFill>
    </fill>
    <fill>
      <patternFill patternType="solid">
        <fgColor theme="7" tint="0.59999389629810485"/>
        <bgColor indexed="64"/>
      </patternFill>
    </fill>
    <fill>
      <patternFill patternType="solid">
        <fgColor theme="8" tint="-0.49998474074526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rgb="FFC00000"/>
        <bgColor indexed="64"/>
      </patternFill>
    </fill>
    <fill>
      <patternFill patternType="solid">
        <fgColor rgb="FFCCFF99"/>
        <bgColor indexed="64"/>
      </patternFill>
    </fill>
    <fill>
      <patternFill patternType="solid">
        <fgColor theme="7" tint="-0.499984740745262"/>
        <bgColor indexed="64"/>
      </patternFill>
    </fill>
  </fills>
  <borders count="1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bottom style="thin">
        <color theme="0"/>
      </bottom>
      <diagonal/>
    </border>
    <border>
      <left style="medium">
        <color indexed="64"/>
      </left>
      <right/>
      <top style="medium">
        <color indexed="64"/>
      </top>
      <bottom/>
      <diagonal/>
    </border>
    <border>
      <left style="medium">
        <color indexed="64"/>
      </left>
      <right/>
      <top/>
      <bottom style="thin">
        <color theme="0"/>
      </bottom>
      <diagonal/>
    </border>
    <border>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style="thin">
        <color theme="0"/>
      </right>
      <top style="thin">
        <color theme="0"/>
      </top>
      <bottom/>
      <diagonal/>
    </border>
    <border>
      <left/>
      <right style="medium">
        <color indexed="64"/>
      </right>
      <top style="thin">
        <color indexed="64"/>
      </top>
      <bottom style="thin">
        <color indexed="64"/>
      </bottom>
      <diagonal/>
    </border>
    <border>
      <left style="thin">
        <color theme="0"/>
      </left>
      <right/>
      <top/>
      <bottom/>
      <diagonal/>
    </border>
    <border>
      <left/>
      <right/>
      <top style="thin">
        <color theme="0"/>
      </top>
      <bottom/>
      <diagonal/>
    </border>
    <border>
      <left/>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style="medium">
        <color indexed="64"/>
      </bottom>
      <diagonal/>
    </border>
    <border>
      <left style="medium">
        <color indexed="64"/>
      </left>
      <right style="thin">
        <color theme="0"/>
      </right>
      <top/>
      <bottom/>
      <diagonal/>
    </border>
    <border>
      <left style="medium">
        <color indexed="64"/>
      </left>
      <right style="thin">
        <color theme="0"/>
      </right>
      <top/>
      <bottom style="thin">
        <color indexed="64"/>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theme="0"/>
      </right>
      <top/>
      <bottom style="thin">
        <color indexed="64"/>
      </bottom>
      <diagonal/>
    </border>
    <border>
      <left/>
      <right style="medium">
        <color indexed="64"/>
      </right>
      <top style="thin">
        <color theme="0"/>
      </top>
      <bottom style="thin">
        <color theme="0"/>
      </bottom>
      <diagonal/>
    </border>
    <border>
      <left style="medium">
        <color indexed="64"/>
      </left>
      <right/>
      <top style="thin">
        <color indexed="64"/>
      </top>
      <bottom style="thin">
        <color theme="0"/>
      </bottom>
      <diagonal/>
    </border>
    <border>
      <left/>
      <right/>
      <top style="thin">
        <color indexed="64"/>
      </top>
      <bottom style="thin">
        <color theme="0"/>
      </bottom>
      <diagonal/>
    </border>
    <border>
      <left/>
      <right style="medium">
        <color indexed="64"/>
      </right>
      <top style="thin">
        <color indexed="64"/>
      </top>
      <bottom style="thin">
        <color theme="0"/>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CC"/>
      </left>
      <right/>
      <top style="medium">
        <color rgb="FF0000CC"/>
      </top>
      <bottom style="medium">
        <color rgb="FF0000CC"/>
      </bottom>
      <diagonal/>
    </border>
    <border>
      <left/>
      <right/>
      <top style="medium">
        <color rgb="FF0000CC"/>
      </top>
      <bottom style="medium">
        <color rgb="FF0000CC"/>
      </bottom>
      <diagonal/>
    </border>
    <border>
      <left/>
      <right style="medium">
        <color rgb="FF0000CC"/>
      </right>
      <top style="medium">
        <color rgb="FF0000CC"/>
      </top>
      <bottom style="medium">
        <color rgb="FF0000CC"/>
      </bottom>
      <diagonal/>
    </border>
    <border>
      <left style="medium">
        <color rgb="FFCC0099"/>
      </left>
      <right/>
      <top style="medium">
        <color rgb="FFCC0099"/>
      </top>
      <bottom style="medium">
        <color rgb="FFCC0099"/>
      </bottom>
      <diagonal/>
    </border>
    <border>
      <left/>
      <right/>
      <top style="medium">
        <color rgb="FFCC0099"/>
      </top>
      <bottom style="medium">
        <color rgb="FFCC0099"/>
      </bottom>
      <diagonal/>
    </border>
    <border>
      <left/>
      <right style="medium">
        <color rgb="FFCC0099"/>
      </right>
      <top style="medium">
        <color rgb="FFCC0099"/>
      </top>
      <bottom style="medium">
        <color rgb="FFCC0099"/>
      </bottom>
      <diagonal/>
    </border>
    <border>
      <left style="thin">
        <color theme="5" tint="-0.499984740745262"/>
      </left>
      <right style="thin">
        <color theme="5" tint="-0.499984740745262"/>
      </right>
      <top style="thin">
        <color theme="5" tint="-0.499984740745262"/>
      </top>
      <bottom style="thin">
        <color theme="5" tint="-0.499984740745262"/>
      </bottom>
      <diagonal/>
    </border>
    <border>
      <left style="medium">
        <color theme="5" tint="-0.499984740745262"/>
      </left>
      <right style="thin">
        <color theme="5" tint="-0.499984740745262"/>
      </right>
      <top style="medium">
        <color theme="5" tint="-0.499984740745262"/>
      </top>
      <bottom style="thin">
        <color theme="5" tint="-0.499984740745262"/>
      </bottom>
      <diagonal/>
    </border>
    <border>
      <left style="thin">
        <color theme="5" tint="-0.499984740745262"/>
      </left>
      <right style="thin">
        <color theme="5" tint="-0.499984740745262"/>
      </right>
      <top style="medium">
        <color theme="5" tint="-0.499984740745262"/>
      </top>
      <bottom style="thin">
        <color theme="5" tint="-0.499984740745262"/>
      </bottom>
      <diagonal/>
    </border>
    <border>
      <left style="thin">
        <color theme="5" tint="-0.499984740745262"/>
      </left>
      <right style="medium">
        <color theme="5" tint="-0.499984740745262"/>
      </right>
      <top style="medium">
        <color theme="5" tint="-0.499984740745262"/>
      </top>
      <bottom style="thin">
        <color theme="5" tint="-0.499984740745262"/>
      </bottom>
      <diagonal/>
    </border>
    <border>
      <left style="medium">
        <color theme="5" tint="-0.499984740745262"/>
      </left>
      <right style="thin">
        <color theme="5" tint="-0.499984740745262"/>
      </right>
      <top style="thin">
        <color theme="5" tint="-0.499984740745262"/>
      </top>
      <bottom style="medium">
        <color theme="5" tint="-0.499984740745262"/>
      </bottom>
      <diagonal/>
    </border>
    <border>
      <left style="thin">
        <color theme="5" tint="-0.499984740745262"/>
      </left>
      <right style="thin">
        <color theme="5" tint="-0.499984740745262"/>
      </right>
      <top style="thin">
        <color theme="5" tint="-0.499984740745262"/>
      </top>
      <bottom style="medium">
        <color theme="5" tint="-0.499984740745262"/>
      </bottom>
      <diagonal/>
    </border>
    <border>
      <left style="thin">
        <color theme="5" tint="-0.499984740745262"/>
      </left>
      <right style="medium">
        <color theme="5" tint="-0.499984740745262"/>
      </right>
      <top style="thin">
        <color theme="5" tint="-0.499984740745262"/>
      </top>
      <bottom style="medium">
        <color theme="5" tint="-0.499984740745262"/>
      </bottom>
      <diagonal/>
    </border>
    <border>
      <left style="medium">
        <color theme="5" tint="-0.499984740745262"/>
      </left>
      <right style="thin">
        <color theme="5" tint="-0.499984740745262"/>
      </right>
      <top style="thin">
        <color theme="5" tint="-0.499984740745262"/>
      </top>
      <bottom style="thin">
        <color theme="5" tint="-0.499984740745262"/>
      </bottom>
      <diagonal/>
    </border>
    <border>
      <left style="thin">
        <color theme="5" tint="-0.499984740745262"/>
      </left>
      <right style="medium">
        <color theme="5" tint="-0.499984740745262"/>
      </right>
      <top style="thin">
        <color theme="5" tint="-0.499984740745262"/>
      </top>
      <bottom style="thin">
        <color theme="5" tint="-0.499984740745262"/>
      </bottom>
      <diagonal/>
    </border>
    <border>
      <left style="thin">
        <color rgb="FF7030A0"/>
      </left>
      <right style="thin">
        <color rgb="FF7030A0"/>
      </right>
      <top style="thin">
        <color rgb="FF7030A0"/>
      </top>
      <bottom style="thin">
        <color rgb="FF7030A0"/>
      </bottom>
      <diagonal/>
    </border>
    <border>
      <left style="medium">
        <color rgb="FF7030A0"/>
      </left>
      <right style="thin">
        <color rgb="FF7030A0"/>
      </right>
      <top style="medium">
        <color rgb="FF7030A0"/>
      </top>
      <bottom style="thin">
        <color rgb="FF7030A0"/>
      </bottom>
      <diagonal/>
    </border>
    <border>
      <left style="thin">
        <color rgb="FF7030A0"/>
      </left>
      <right style="thin">
        <color rgb="FF7030A0"/>
      </right>
      <top style="medium">
        <color rgb="FF7030A0"/>
      </top>
      <bottom style="thin">
        <color rgb="FF7030A0"/>
      </bottom>
      <diagonal/>
    </border>
    <border>
      <left style="thin">
        <color rgb="FF7030A0"/>
      </left>
      <right style="medium">
        <color rgb="FF7030A0"/>
      </right>
      <top style="medium">
        <color rgb="FF7030A0"/>
      </top>
      <bottom style="thin">
        <color rgb="FF7030A0"/>
      </bottom>
      <diagonal/>
    </border>
    <border>
      <left style="medium">
        <color rgb="FF7030A0"/>
      </left>
      <right style="thin">
        <color rgb="FF7030A0"/>
      </right>
      <top style="thin">
        <color rgb="FF7030A0"/>
      </top>
      <bottom style="thin">
        <color rgb="FF7030A0"/>
      </bottom>
      <diagonal/>
    </border>
    <border>
      <left style="thin">
        <color rgb="FF7030A0"/>
      </left>
      <right style="medium">
        <color rgb="FF7030A0"/>
      </right>
      <top style="thin">
        <color rgb="FF7030A0"/>
      </top>
      <bottom style="thin">
        <color rgb="FF7030A0"/>
      </bottom>
      <diagonal/>
    </border>
    <border>
      <left style="medium">
        <color rgb="FF7030A0"/>
      </left>
      <right style="thin">
        <color rgb="FF7030A0"/>
      </right>
      <top style="thin">
        <color rgb="FF7030A0"/>
      </top>
      <bottom style="medium">
        <color rgb="FF7030A0"/>
      </bottom>
      <diagonal/>
    </border>
    <border>
      <left style="thin">
        <color rgb="FF7030A0"/>
      </left>
      <right style="thin">
        <color rgb="FF7030A0"/>
      </right>
      <top style="thin">
        <color rgb="FF7030A0"/>
      </top>
      <bottom style="medium">
        <color rgb="FF7030A0"/>
      </bottom>
      <diagonal/>
    </border>
    <border>
      <left style="thin">
        <color rgb="FF7030A0"/>
      </left>
      <right style="medium">
        <color rgb="FF7030A0"/>
      </right>
      <top style="thin">
        <color rgb="FF7030A0"/>
      </top>
      <bottom style="medium">
        <color rgb="FF7030A0"/>
      </bottom>
      <diagonal/>
    </border>
    <border>
      <left style="thin">
        <color theme="8" tint="-0.499984740745262"/>
      </left>
      <right style="thin">
        <color theme="8" tint="-0.499984740745262"/>
      </right>
      <top style="thin">
        <color theme="8" tint="-0.499984740745262"/>
      </top>
      <bottom style="thin">
        <color theme="8" tint="-0.499984740745262"/>
      </bottom>
      <diagonal/>
    </border>
    <border>
      <left style="medium">
        <color theme="8" tint="-0.499984740745262"/>
      </left>
      <right style="thin">
        <color theme="8" tint="-0.499984740745262"/>
      </right>
      <top style="medium">
        <color theme="8" tint="-0.499984740745262"/>
      </top>
      <bottom style="thin">
        <color theme="8" tint="-0.499984740745262"/>
      </bottom>
      <diagonal/>
    </border>
    <border>
      <left style="thin">
        <color theme="8" tint="-0.499984740745262"/>
      </left>
      <right style="thin">
        <color theme="8" tint="-0.499984740745262"/>
      </right>
      <top style="medium">
        <color theme="8" tint="-0.499984740745262"/>
      </top>
      <bottom style="thin">
        <color theme="8" tint="-0.499984740745262"/>
      </bottom>
      <diagonal/>
    </border>
    <border>
      <left style="thin">
        <color theme="8" tint="-0.499984740745262"/>
      </left>
      <right style="medium">
        <color theme="8" tint="-0.499984740745262"/>
      </right>
      <top style="medium">
        <color theme="8" tint="-0.499984740745262"/>
      </top>
      <bottom style="thin">
        <color theme="8" tint="-0.499984740745262"/>
      </bottom>
      <diagonal/>
    </border>
    <border>
      <left style="medium">
        <color theme="8" tint="-0.499984740745262"/>
      </left>
      <right style="thin">
        <color theme="8" tint="-0.499984740745262"/>
      </right>
      <top style="thin">
        <color theme="8" tint="-0.499984740745262"/>
      </top>
      <bottom style="thin">
        <color theme="8" tint="-0.499984740745262"/>
      </bottom>
      <diagonal/>
    </border>
    <border>
      <left style="thin">
        <color theme="8" tint="-0.499984740745262"/>
      </left>
      <right style="medium">
        <color theme="8" tint="-0.499984740745262"/>
      </right>
      <top style="thin">
        <color theme="8" tint="-0.499984740745262"/>
      </top>
      <bottom style="thin">
        <color theme="8" tint="-0.499984740745262"/>
      </bottom>
      <diagonal/>
    </border>
    <border>
      <left style="medium">
        <color theme="8" tint="-0.499984740745262"/>
      </left>
      <right style="thin">
        <color theme="8" tint="-0.499984740745262"/>
      </right>
      <top style="thin">
        <color theme="8" tint="-0.499984740745262"/>
      </top>
      <bottom style="medium">
        <color theme="8" tint="-0.499984740745262"/>
      </bottom>
      <diagonal/>
    </border>
    <border>
      <left style="thin">
        <color theme="8" tint="-0.499984740745262"/>
      </left>
      <right style="thin">
        <color theme="8" tint="-0.499984740745262"/>
      </right>
      <top style="thin">
        <color theme="8" tint="-0.499984740745262"/>
      </top>
      <bottom style="medium">
        <color theme="8" tint="-0.499984740745262"/>
      </bottom>
      <diagonal/>
    </border>
    <border>
      <left style="thin">
        <color theme="8" tint="-0.499984740745262"/>
      </left>
      <right style="medium">
        <color theme="8" tint="-0.499984740745262"/>
      </right>
      <top style="thin">
        <color theme="8" tint="-0.499984740745262"/>
      </top>
      <bottom style="medium">
        <color theme="8" tint="-0.499984740745262"/>
      </bottom>
      <diagonal/>
    </border>
    <border>
      <left style="medium">
        <color rgb="FF006600"/>
      </left>
      <right/>
      <top style="medium">
        <color rgb="FF006600"/>
      </top>
      <bottom style="medium">
        <color rgb="FF006600"/>
      </bottom>
      <diagonal/>
    </border>
    <border>
      <left/>
      <right/>
      <top style="medium">
        <color rgb="FF006600"/>
      </top>
      <bottom style="medium">
        <color rgb="FF006600"/>
      </bottom>
      <diagonal/>
    </border>
    <border>
      <left/>
      <right style="medium">
        <color rgb="FF006600"/>
      </right>
      <top style="medium">
        <color rgb="FF006600"/>
      </top>
      <bottom style="medium">
        <color rgb="FF006600"/>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style="medium">
        <color theme="3" tint="-0.249977111117893"/>
      </right>
      <top style="medium">
        <color theme="3" tint="-0.249977111117893"/>
      </top>
      <bottom style="medium">
        <color theme="3" tint="-0.249977111117893"/>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s>
  <cellStyleXfs count="1">
    <xf numFmtId="0" fontId="0" fillId="0" borderId="0"/>
  </cellStyleXfs>
  <cellXfs count="1264">
    <xf numFmtId="0" fontId="0" fillId="0" borderId="0" xfId="0"/>
    <xf numFmtId="0" fontId="1" fillId="0" borderId="0" xfId="0" applyFont="1" applyAlignment="1" applyProtection="1">
      <alignment vertical="center"/>
      <protection hidden="1"/>
    </xf>
    <xf numFmtId="0" fontId="1" fillId="0" borderId="0" xfId="0" applyFont="1" applyProtection="1">
      <protection hidden="1"/>
    </xf>
    <xf numFmtId="0" fontId="0" fillId="0" borderId="0" xfId="0" applyProtection="1">
      <protection hidden="1"/>
    </xf>
    <xf numFmtId="0" fontId="1" fillId="0" borderId="0" xfId="0" applyFont="1" applyAlignment="1" applyProtection="1">
      <alignment horizontal="left" vertical="center"/>
      <protection hidden="1"/>
    </xf>
    <xf numFmtId="0" fontId="1" fillId="0" borderId="0" xfId="0" applyFont="1" applyAlignment="1" applyProtection="1">
      <alignment horizontal="right" vertical="center"/>
      <protection hidden="1"/>
    </xf>
    <xf numFmtId="0" fontId="10" fillId="0" borderId="9" xfId="0" applyFont="1" applyBorder="1" applyAlignment="1" applyProtection="1">
      <alignment vertical="center"/>
      <protection hidden="1"/>
    </xf>
    <xf numFmtId="0" fontId="22" fillId="0" borderId="13" xfId="0" applyFont="1" applyBorder="1" applyAlignment="1" applyProtection="1">
      <alignment vertical="center"/>
      <protection hidden="1"/>
    </xf>
    <xf numFmtId="0" fontId="10" fillId="0" borderId="10" xfId="0" applyFont="1" applyBorder="1" applyAlignment="1" applyProtection="1">
      <alignment vertical="center"/>
      <protection hidden="1"/>
    </xf>
    <xf numFmtId="1" fontId="10" fillId="0" borderId="9" xfId="0" applyNumberFormat="1" applyFont="1" applyBorder="1" applyAlignment="1" applyProtection="1">
      <alignment vertical="center"/>
      <protection hidden="1"/>
    </xf>
    <xf numFmtId="1" fontId="10" fillId="0" borderId="10" xfId="0" applyNumberFormat="1" applyFont="1" applyBorder="1" applyAlignment="1" applyProtection="1">
      <alignment vertical="center"/>
      <protection hidden="1"/>
    </xf>
    <xf numFmtId="1" fontId="10" fillId="0" borderId="13" xfId="0" applyNumberFormat="1" applyFont="1" applyBorder="1" applyAlignment="1" applyProtection="1">
      <alignment vertical="center"/>
      <protection hidden="1"/>
    </xf>
    <xf numFmtId="0" fontId="3" fillId="0" borderId="0" xfId="0" applyFont="1" applyBorder="1" applyAlignment="1" applyProtection="1">
      <alignment horizontal="left" vertical="center" wrapText="1"/>
      <protection hidden="1"/>
    </xf>
    <xf numFmtId="0" fontId="3" fillId="0" borderId="12" xfId="0" applyFont="1" applyBorder="1" applyAlignment="1" applyProtection="1">
      <alignment horizontal="left" vertical="center" wrapText="1"/>
      <protection hidden="1"/>
    </xf>
    <xf numFmtId="0" fontId="0" fillId="0" borderId="0" xfId="0" applyAlignment="1" applyProtection="1">
      <alignment horizontal="center" vertical="center"/>
      <protection hidden="1"/>
    </xf>
    <xf numFmtId="166" fontId="0" fillId="0" borderId="0" xfId="0" applyNumberFormat="1" applyAlignment="1" applyProtection="1">
      <alignment horizontal="center" vertical="center"/>
      <protection hidden="1"/>
    </xf>
    <xf numFmtId="0" fontId="0" fillId="7" borderId="0" xfId="0" applyFill="1" applyProtection="1">
      <protection hidden="1"/>
    </xf>
    <xf numFmtId="49" fontId="17" fillId="9" borderId="15" xfId="0" applyNumberFormat="1" applyFont="1" applyFill="1" applyBorder="1" applyAlignment="1" applyProtection="1">
      <alignment horizontal="center" vertical="center"/>
      <protection hidden="1"/>
    </xf>
    <xf numFmtId="0" fontId="71" fillId="2" borderId="15" xfId="0" applyFont="1" applyFill="1" applyBorder="1" applyAlignment="1" applyProtection="1">
      <alignment horizontal="center" vertical="center"/>
      <protection hidden="1"/>
    </xf>
    <xf numFmtId="0" fontId="71" fillId="2" borderId="15" xfId="0" applyFont="1" applyFill="1" applyBorder="1" applyAlignment="1" applyProtection="1">
      <alignment horizontal="left" vertical="center" wrapText="1"/>
      <protection hidden="1"/>
    </xf>
    <xf numFmtId="0" fontId="72" fillId="2" borderId="15" xfId="0" applyFont="1" applyFill="1" applyBorder="1" applyAlignment="1" applyProtection="1">
      <alignment horizontal="center" vertical="center"/>
      <protection hidden="1"/>
    </xf>
    <xf numFmtId="0" fontId="72" fillId="2" borderId="15" xfId="0" applyFont="1" applyFill="1" applyBorder="1" applyAlignment="1" applyProtection="1">
      <alignment horizontal="left" vertical="center" wrapText="1"/>
      <protection hidden="1"/>
    </xf>
    <xf numFmtId="0" fontId="73" fillId="2" borderId="15" xfId="0" applyFont="1" applyFill="1" applyBorder="1" applyAlignment="1" applyProtection="1">
      <alignment horizontal="center" vertical="center"/>
      <protection hidden="1"/>
    </xf>
    <xf numFmtId="0" fontId="73" fillId="2" borderId="15" xfId="0" applyFont="1" applyFill="1" applyBorder="1" applyAlignment="1" applyProtection="1">
      <alignment horizontal="left" vertical="center" wrapText="1"/>
      <protection hidden="1"/>
    </xf>
    <xf numFmtId="2" fontId="27" fillId="6" borderId="2" xfId="0" applyNumberFormat="1" applyFont="1" applyFill="1" applyBorder="1" applyAlignment="1" applyProtection="1">
      <alignment horizontal="right" vertical="center"/>
      <protection hidden="1"/>
    </xf>
    <xf numFmtId="2" fontId="29" fillId="6" borderId="2" xfId="0" applyNumberFormat="1" applyFont="1" applyFill="1" applyBorder="1" applyAlignment="1" applyProtection="1">
      <alignment horizontal="right" vertical="center"/>
      <protection hidden="1"/>
    </xf>
    <xf numFmtId="0" fontId="80" fillId="2" borderId="15" xfId="0" applyFont="1" applyFill="1" applyBorder="1" applyAlignment="1" applyProtection="1">
      <alignment horizontal="center" vertical="center"/>
      <protection hidden="1"/>
    </xf>
    <xf numFmtId="0" fontId="81" fillId="2" borderId="15" xfId="0" applyFont="1" applyFill="1" applyBorder="1" applyAlignment="1" applyProtection="1">
      <alignment horizontal="center" vertical="center"/>
      <protection hidden="1"/>
    </xf>
    <xf numFmtId="0" fontId="82" fillId="2" borderId="15" xfId="0" applyFont="1" applyFill="1" applyBorder="1" applyAlignment="1" applyProtection="1">
      <alignment horizontal="center" vertical="center"/>
      <protection hidden="1"/>
    </xf>
    <xf numFmtId="0" fontId="85" fillId="2" borderId="15" xfId="0" applyFont="1" applyFill="1" applyBorder="1" applyAlignment="1" applyProtection="1">
      <alignment horizontal="center" vertical="center"/>
      <protection hidden="1"/>
    </xf>
    <xf numFmtId="164" fontId="86" fillId="10" borderId="7" xfId="0" applyNumberFormat="1" applyFont="1" applyFill="1" applyBorder="1" applyAlignment="1" applyProtection="1">
      <alignment horizontal="right" vertical="center"/>
      <protection locked="0"/>
    </xf>
    <xf numFmtId="164" fontId="86" fillId="10" borderId="2" xfId="0" applyNumberFormat="1" applyFont="1" applyFill="1" applyBorder="1" applyAlignment="1" applyProtection="1">
      <alignment horizontal="right" vertical="center"/>
      <protection locked="0"/>
    </xf>
    <xf numFmtId="164" fontId="86" fillId="10" borderId="2" xfId="0" applyNumberFormat="1" applyFont="1" applyFill="1" applyBorder="1" applyAlignment="1" applyProtection="1">
      <alignment horizontal="right" vertical="center" wrapText="1"/>
      <protection locked="0"/>
    </xf>
    <xf numFmtId="49" fontId="89" fillId="2" borderId="17" xfId="0" applyNumberFormat="1" applyFont="1" applyFill="1" applyBorder="1" applyAlignment="1" applyProtection="1">
      <alignment horizontal="center" vertical="center"/>
      <protection hidden="1"/>
    </xf>
    <xf numFmtId="49" fontId="89" fillId="2" borderId="15" xfId="0" applyNumberFormat="1" applyFont="1" applyFill="1" applyBorder="1" applyAlignment="1" applyProtection="1">
      <alignment horizontal="center" vertical="center"/>
      <protection hidden="1"/>
    </xf>
    <xf numFmtId="49" fontId="90" fillId="2" borderId="15" xfId="0" applyNumberFormat="1" applyFont="1" applyFill="1" applyBorder="1" applyAlignment="1" applyProtection="1">
      <alignment horizontal="center" vertical="center"/>
      <protection hidden="1"/>
    </xf>
    <xf numFmtId="49" fontId="92" fillId="2" borderId="15" xfId="0" applyNumberFormat="1" applyFont="1" applyFill="1" applyBorder="1" applyAlignment="1" applyProtection="1">
      <alignment horizontal="center" vertical="center"/>
      <protection hidden="1"/>
    </xf>
    <xf numFmtId="49" fontId="93" fillId="2" borderId="15" xfId="0" applyNumberFormat="1" applyFont="1" applyFill="1" applyBorder="1" applyAlignment="1" applyProtection="1">
      <alignment horizontal="center" vertical="center"/>
      <protection hidden="1"/>
    </xf>
    <xf numFmtId="49" fontId="94" fillId="2" borderId="15" xfId="0" applyNumberFormat="1" applyFont="1" applyFill="1" applyBorder="1" applyAlignment="1" applyProtection="1">
      <alignment horizontal="center" vertical="center"/>
      <protection hidden="1"/>
    </xf>
    <xf numFmtId="0" fontId="64" fillId="11" borderId="2" xfId="0" applyFont="1" applyFill="1" applyBorder="1" applyAlignment="1" applyProtection="1">
      <alignment horizontal="center" vertical="center"/>
      <protection locked="0"/>
    </xf>
    <xf numFmtId="0" fontId="74" fillId="11" borderId="2" xfId="0" applyFont="1" applyFill="1" applyBorder="1" applyAlignment="1" applyProtection="1">
      <alignment horizontal="center" vertical="center"/>
      <protection hidden="1"/>
    </xf>
    <xf numFmtId="165" fontId="25" fillId="11" borderId="2" xfId="0" applyNumberFormat="1" applyFont="1" applyFill="1" applyBorder="1" applyAlignment="1" applyProtection="1">
      <alignment horizontal="center" vertical="center"/>
      <protection locked="0"/>
    </xf>
    <xf numFmtId="0" fontId="98" fillId="11" borderId="1" xfId="0" applyFont="1" applyFill="1" applyBorder="1" applyAlignment="1" applyProtection="1">
      <alignment horizontal="center" vertical="center"/>
      <protection locked="0"/>
    </xf>
    <xf numFmtId="0" fontId="64" fillId="11" borderId="1" xfId="0" applyFont="1" applyFill="1" applyBorder="1" applyAlignment="1" applyProtection="1">
      <alignment horizontal="center" vertical="center"/>
      <protection locked="0"/>
    </xf>
    <xf numFmtId="0" fontId="90" fillId="2" borderId="15" xfId="0" applyFont="1" applyFill="1" applyBorder="1" applyAlignment="1" applyProtection="1">
      <alignment horizontal="left" vertical="center"/>
      <protection hidden="1"/>
    </xf>
    <xf numFmtId="0" fontId="150" fillId="7" borderId="0" xfId="0" applyFont="1" applyFill="1" applyProtection="1">
      <protection hidden="1"/>
    </xf>
    <xf numFmtId="0" fontId="102" fillId="7" borderId="0" xfId="0" applyFont="1" applyFill="1" applyProtection="1">
      <protection hidden="1"/>
    </xf>
    <xf numFmtId="49" fontId="153" fillId="0" borderId="0" xfId="0" applyNumberFormat="1" applyFont="1" applyProtection="1">
      <protection hidden="1"/>
    </xf>
    <xf numFmtId="0" fontId="155" fillId="2" borderId="15" xfId="0" applyFont="1" applyFill="1" applyBorder="1" applyAlignment="1" applyProtection="1">
      <alignment horizontal="center" vertical="center" wrapText="1"/>
      <protection hidden="1"/>
    </xf>
    <xf numFmtId="0" fontId="156" fillId="2" borderId="15" xfId="0" applyFont="1" applyFill="1" applyBorder="1" applyAlignment="1" applyProtection="1">
      <alignment horizontal="center" vertical="center" wrapText="1"/>
      <protection hidden="1"/>
    </xf>
    <xf numFmtId="0" fontId="153" fillId="0" borderId="0" xfId="0" applyNumberFormat="1" applyFont="1" applyProtection="1">
      <protection hidden="1"/>
    </xf>
    <xf numFmtId="14" fontId="153" fillId="0" borderId="0" xfId="0" applyNumberFormat="1" applyFont="1" applyProtection="1">
      <protection hidden="1"/>
    </xf>
    <xf numFmtId="14" fontId="0" fillId="0" borderId="0" xfId="0" applyNumberFormat="1" applyProtection="1">
      <protection hidden="1"/>
    </xf>
    <xf numFmtId="166" fontId="0" fillId="0" borderId="0" xfId="0" applyNumberFormat="1" applyProtection="1">
      <protection hidden="1"/>
    </xf>
    <xf numFmtId="0" fontId="173" fillId="0" borderId="1" xfId="0" applyFont="1" applyBorder="1" applyAlignment="1" applyProtection="1">
      <alignment horizontal="center" vertical="center"/>
      <protection hidden="1"/>
    </xf>
    <xf numFmtId="0" fontId="174" fillId="0" borderId="1" xfId="0" applyFont="1" applyBorder="1" applyAlignment="1" applyProtection="1">
      <alignment horizontal="center" vertical="center"/>
      <protection hidden="1"/>
    </xf>
    <xf numFmtId="2" fontId="36" fillId="0" borderId="1" xfId="0" applyNumberFormat="1" applyFont="1" applyBorder="1" applyAlignment="1" applyProtection="1">
      <alignment horizontal="center" vertical="center"/>
      <protection hidden="1"/>
    </xf>
    <xf numFmtId="2" fontId="143" fillId="0" borderId="1" xfId="0" applyNumberFormat="1" applyFont="1" applyBorder="1" applyAlignment="1" applyProtection="1">
      <alignment horizontal="center" vertical="center"/>
      <protection hidden="1"/>
    </xf>
    <xf numFmtId="0" fontId="133" fillId="0" borderId="1" xfId="0" applyFont="1" applyFill="1" applyBorder="1" applyAlignment="1" applyProtection="1">
      <alignment horizontal="center" vertical="center" wrapText="1"/>
      <protection hidden="1"/>
    </xf>
    <xf numFmtId="0" fontId="171" fillId="0" borderId="1" xfId="0" applyFont="1" applyFill="1" applyBorder="1" applyAlignment="1" applyProtection="1">
      <alignment horizontal="center" vertical="center"/>
      <protection hidden="1"/>
    </xf>
    <xf numFmtId="0" fontId="137" fillId="0" borderId="1" xfId="0" applyFont="1" applyFill="1" applyBorder="1" applyAlignment="1" applyProtection="1">
      <alignment horizontal="center" vertical="center" wrapText="1"/>
      <protection hidden="1"/>
    </xf>
    <xf numFmtId="165" fontId="9" fillId="0" borderId="1" xfId="0" applyNumberFormat="1" applyFont="1" applyFill="1" applyBorder="1" applyAlignment="1" applyProtection="1">
      <alignment horizontal="center" vertical="center"/>
      <protection hidden="1"/>
    </xf>
    <xf numFmtId="167" fontId="157" fillId="0" borderId="1" xfId="0" applyNumberFormat="1" applyFont="1" applyFill="1" applyBorder="1" applyAlignment="1" applyProtection="1">
      <alignment horizontal="left" vertical="center"/>
      <protection hidden="1"/>
    </xf>
    <xf numFmtId="0" fontId="10" fillId="0" borderId="1" xfId="0" applyFont="1" applyFill="1" applyBorder="1" applyAlignment="1" applyProtection="1">
      <alignment horizontal="center" vertical="center"/>
      <protection hidden="1"/>
    </xf>
    <xf numFmtId="0" fontId="134" fillId="0" borderId="1" xfId="0" applyFont="1" applyFill="1" applyBorder="1" applyAlignment="1" applyProtection="1">
      <alignment horizontal="center" vertical="center"/>
      <protection hidden="1"/>
    </xf>
    <xf numFmtId="168" fontId="133" fillId="0" borderId="1" xfId="0" applyNumberFormat="1" applyFont="1" applyFill="1" applyBorder="1" applyAlignment="1" applyProtection="1">
      <alignment horizontal="center" vertical="center"/>
      <protection hidden="1"/>
    </xf>
    <xf numFmtId="164" fontId="134" fillId="0" borderId="1" xfId="0" applyNumberFormat="1" applyFont="1" applyFill="1" applyBorder="1" applyAlignment="1" applyProtection="1">
      <alignment horizontal="right" vertical="center"/>
      <protection hidden="1"/>
    </xf>
    <xf numFmtId="0" fontId="130" fillId="0" borderId="1" xfId="0" applyFont="1" applyFill="1" applyBorder="1" applyAlignment="1" applyProtection="1">
      <alignment horizontal="center" vertical="center"/>
      <protection hidden="1"/>
    </xf>
    <xf numFmtId="164" fontId="130" fillId="0" borderId="1" xfId="0" applyNumberFormat="1" applyFont="1" applyFill="1" applyBorder="1" applyAlignment="1" applyProtection="1">
      <alignment horizontal="right" vertical="center"/>
      <protection hidden="1"/>
    </xf>
    <xf numFmtId="0" fontId="138" fillId="0" borderId="1" xfId="0" applyFont="1" applyFill="1" applyBorder="1" applyAlignment="1" applyProtection="1">
      <alignment horizontal="center" vertical="center"/>
      <protection hidden="1"/>
    </xf>
    <xf numFmtId="168" fontId="137" fillId="0" borderId="1" xfId="0" applyNumberFormat="1" applyFont="1" applyFill="1" applyBorder="1" applyAlignment="1" applyProtection="1">
      <alignment horizontal="center" vertical="center"/>
      <protection hidden="1"/>
    </xf>
    <xf numFmtId="164" fontId="138" fillId="0" borderId="1" xfId="0" applyNumberFormat="1" applyFont="1" applyFill="1" applyBorder="1" applyAlignment="1" applyProtection="1">
      <alignment horizontal="right" vertical="center"/>
      <protection hidden="1"/>
    </xf>
    <xf numFmtId="164" fontId="137" fillId="0" borderId="1" xfId="0" applyNumberFormat="1" applyFont="1" applyFill="1" applyBorder="1" applyAlignment="1" applyProtection="1">
      <alignment horizontal="right" vertical="center"/>
      <protection hidden="1"/>
    </xf>
    <xf numFmtId="0" fontId="38" fillId="0" borderId="1" xfId="0" applyFont="1" applyBorder="1" applyAlignment="1" applyProtection="1">
      <alignment horizontal="center" vertical="center"/>
      <protection hidden="1"/>
    </xf>
    <xf numFmtId="0" fontId="166" fillId="0" borderId="1" xfId="0" applyFont="1" applyBorder="1" applyAlignment="1" applyProtection="1">
      <alignment horizontal="center" vertical="center"/>
      <protection hidden="1"/>
    </xf>
    <xf numFmtId="168" fontId="166" fillId="0" borderId="1" xfId="0" applyNumberFormat="1" applyFont="1" applyBorder="1" applyAlignment="1" applyProtection="1">
      <alignment horizontal="center" vertical="center"/>
      <protection hidden="1"/>
    </xf>
    <xf numFmtId="2" fontId="166" fillId="0" borderId="1" xfId="0" applyNumberFormat="1" applyFont="1" applyBorder="1" applyAlignment="1" applyProtection="1">
      <alignment horizontal="center" vertical="center"/>
      <protection hidden="1"/>
    </xf>
    <xf numFmtId="0" fontId="167" fillId="0" borderId="1" xfId="0" applyFont="1" applyBorder="1" applyAlignment="1" applyProtection="1">
      <alignment horizontal="center" vertical="center"/>
      <protection hidden="1"/>
    </xf>
    <xf numFmtId="168" fontId="167" fillId="0" borderId="1" xfId="0" applyNumberFormat="1" applyFont="1" applyBorder="1" applyAlignment="1" applyProtection="1">
      <alignment horizontal="center" vertical="center"/>
      <protection hidden="1"/>
    </xf>
    <xf numFmtId="0" fontId="170" fillId="0" borderId="1" xfId="0" applyFont="1" applyBorder="1" applyAlignment="1" applyProtection="1">
      <alignment horizontal="center" vertical="center"/>
      <protection hidden="1"/>
    </xf>
    <xf numFmtId="168" fontId="170" fillId="0" borderId="1" xfId="0" applyNumberFormat="1" applyFont="1" applyBorder="1" applyAlignment="1" applyProtection="1">
      <alignment horizontal="center" vertical="center"/>
      <protection hidden="1"/>
    </xf>
    <xf numFmtId="2" fontId="170" fillId="0" borderId="1" xfId="0" applyNumberFormat="1" applyFont="1" applyBorder="1" applyAlignment="1" applyProtection="1">
      <alignment horizontal="center" vertical="center"/>
      <protection hidden="1"/>
    </xf>
    <xf numFmtId="0" fontId="105" fillId="2" borderId="15" xfId="0" applyFont="1" applyFill="1" applyBorder="1" applyAlignment="1" applyProtection="1">
      <alignment horizontal="center" vertical="center"/>
      <protection hidden="1"/>
    </xf>
    <xf numFmtId="0" fontId="104" fillId="4" borderId="15" xfId="0" applyFont="1" applyFill="1" applyBorder="1" applyAlignment="1" applyProtection="1">
      <alignment horizontal="center" vertical="center"/>
      <protection hidden="1"/>
    </xf>
    <xf numFmtId="0" fontId="113" fillId="8" borderId="15" xfId="0" applyFont="1" applyFill="1" applyBorder="1" applyAlignment="1" applyProtection="1">
      <alignment horizontal="center" vertical="center"/>
      <protection hidden="1"/>
    </xf>
    <xf numFmtId="0" fontId="89" fillId="16" borderId="15" xfId="0" applyFont="1" applyFill="1" applyBorder="1" applyAlignment="1" applyProtection="1">
      <alignment horizontal="center" vertical="center"/>
      <protection hidden="1"/>
    </xf>
    <xf numFmtId="0" fontId="97" fillId="18" borderId="15" xfId="0" applyFont="1" applyFill="1" applyBorder="1" applyAlignment="1" applyProtection="1">
      <alignment horizontal="center" vertical="center"/>
      <protection hidden="1"/>
    </xf>
    <xf numFmtId="0" fontId="94" fillId="3" borderId="15" xfId="0" applyFont="1" applyFill="1" applyBorder="1" applyAlignment="1" applyProtection="1">
      <alignment horizontal="center" vertical="center"/>
      <protection hidden="1"/>
    </xf>
    <xf numFmtId="0" fontId="106" fillId="2" borderId="15" xfId="0" applyFont="1" applyFill="1" applyBorder="1" applyAlignment="1" applyProtection="1">
      <alignment horizontal="center" vertical="center"/>
      <protection hidden="1"/>
    </xf>
    <xf numFmtId="0" fontId="109" fillId="4" borderId="15" xfId="0" applyFont="1" applyFill="1" applyBorder="1" applyAlignment="1" applyProtection="1">
      <alignment horizontal="center" vertical="center"/>
      <protection hidden="1"/>
    </xf>
    <xf numFmtId="0" fontId="114" fillId="8" borderId="15" xfId="0" applyFont="1" applyFill="1" applyBorder="1" applyAlignment="1" applyProtection="1">
      <alignment horizontal="center" vertical="center"/>
      <protection hidden="1"/>
    </xf>
    <xf numFmtId="0" fontId="115" fillId="16" borderId="15" xfId="0" applyFont="1" applyFill="1" applyBorder="1" applyAlignment="1" applyProtection="1">
      <alignment horizontal="center" vertical="center"/>
      <protection hidden="1"/>
    </xf>
    <xf numFmtId="0" fontId="112" fillId="18" borderId="15" xfId="0" applyFont="1" applyFill="1" applyBorder="1" applyAlignment="1" applyProtection="1">
      <alignment horizontal="center" vertical="center"/>
      <protection hidden="1"/>
    </xf>
    <xf numFmtId="0" fontId="122" fillId="3" borderId="15" xfId="0" applyFont="1" applyFill="1" applyBorder="1" applyAlignment="1" applyProtection="1">
      <alignment horizontal="center" vertical="center"/>
      <protection hidden="1"/>
    </xf>
    <xf numFmtId="0" fontId="107" fillId="10" borderId="24" xfId="0" applyFont="1" applyFill="1" applyBorder="1" applyAlignment="1" applyProtection="1">
      <alignment horizontal="center" vertical="center"/>
      <protection hidden="1"/>
    </xf>
    <xf numFmtId="167" fontId="103" fillId="10" borderId="2" xfId="0" applyNumberFormat="1" applyFont="1" applyFill="1" applyBorder="1" applyAlignment="1" applyProtection="1">
      <alignment horizontal="left" vertical="center"/>
      <protection hidden="1"/>
    </xf>
    <xf numFmtId="0" fontId="158" fillId="7" borderId="0" xfId="0" applyFont="1" applyFill="1" applyAlignment="1" applyProtection="1">
      <alignment horizontal="left" vertical="center"/>
      <protection hidden="1"/>
    </xf>
    <xf numFmtId="0" fontId="110" fillId="6" borderId="24" xfId="0" applyFont="1" applyFill="1" applyBorder="1" applyAlignment="1" applyProtection="1">
      <alignment horizontal="center" vertical="center"/>
      <protection hidden="1"/>
    </xf>
    <xf numFmtId="167" fontId="111" fillId="6" borderId="2" xfId="0" applyNumberFormat="1" applyFont="1" applyFill="1" applyBorder="1" applyAlignment="1" applyProtection="1">
      <alignment horizontal="left" vertical="center"/>
      <protection hidden="1"/>
    </xf>
    <xf numFmtId="0" fontId="120" fillId="15" borderId="24" xfId="0" applyFont="1" applyFill="1" applyBorder="1" applyAlignment="1" applyProtection="1">
      <alignment horizontal="center" vertical="center"/>
      <protection hidden="1"/>
    </xf>
    <xf numFmtId="167" fontId="121" fillId="15" borderId="2" xfId="0" applyNumberFormat="1" applyFont="1" applyFill="1" applyBorder="1" applyAlignment="1" applyProtection="1">
      <alignment horizontal="left" vertical="center"/>
      <protection hidden="1"/>
    </xf>
    <xf numFmtId="0" fontId="118" fillId="17" borderId="24" xfId="0" applyFont="1" applyFill="1" applyBorder="1" applyAlignment="1" applyProtection="1">
      <alignment horizontal="center" vertical="center"/>
      <protection hidden="1"/>
    </xf>
    <xf numFmtId="167" fontId="119" fillId="17" borderId="2" xfId="0" applyNumberFormat="1" applyFont="1" applyFill="1" applyBorder="1" applyAlignment="1" applyProtection="1">
      <alignment horizontal="left" vertical="center"/>
      <protection hidden="1"/>
    </xf>
    <xf numFmtId="0" fontId="116" fillId="13" borderId="24" xfId="0" applyFont="1" applyFill="1" applyBorder="1" applyAlignment="1" applyProtection="1">
      <alignment horizontal="center" vertical="center"/>
      <protection hidden="1"/>
    </xf>
    <xf numFmtId="167" fontId="117" fillId="13" borderId="2" xfId="0" applyNumberFormat="1" applyFont="1" applyFill="1" applyBorder="1" applyAlignment="1" applyProtection="1">
      <alignment horizontal="left" vertical="center"/>
      <protection hidden="1"/>
    </xf>
    <xf numFmtId="0" fontId="123" fillId="14" borderId="24" xfId="0" applyFont="1" applyFill="1" applyBorder="1" applyAlignment="1" applyProtection="1">
      <alignment horizontal="center" vertical="center"/>
      <protection hidden="1"/>
    </xf>
    <xf numFmtId="167" fontId="124" fillId="14" borderId="2" xfId="0" applyNumberFormat="1" applyFont="1" applyFill="1" applyBorder="1" applyAlignment="1" applyProtection="1">
      <alignment horizontal="left" vertical="center"/>
      <protection hidden="1"/>
    </xf>
    <xf numFmtId="0" fontId="77" fillId="7" borderId="0" xfId="0" applyFont="1" applyFill="1" applyAlignment="1" applyProtection="1">
      <alignment horizontal="left" vertical="center"/>
      <protection hidden="1"/>
    </xf>
    <xf numFmtId="0" fontId="107" fillId="10" borderId="45" xfId="0" applyFont="1" applyFill="1" applyBorder="1" applyAlignment="1" applyProtection="1">
      <alignment horizontal="center" vertical="center"/>
      <protection hidden="1"/>
    </xf>
    <xf numFmtId="167" fontId="103" fillId="10" borderId="46" xfId="0" applyNumberFormat="1" applyFont="1" applyFill="1" applyBorder="1" applyAlignment="1" applyProtection="1">
      <alignment horizontal="left" vertical="center"/>
      <protection hidden="1"/>
    </xf>
    <xf numFmtId="0" fontId="110" fillId="6" borderId="45" xfId="0" applyFont="1" applyFill="1" applyBorder="1" applyAlignment="1" applyProtection="1">
      <alignment horizontal="center" vertical="center"/>
      <protection hidden="1"/>
    </xf>
    <xf numFmtId="167" fontId="111" fillId="6" borderId="46" xfId="0" applyNumberFormat="1" applyFont="1" applyFill="1" applyBorder="1" applyAlignment="1" applyProtection="1">
      <alignment horizontal="left" vertical="center"/>
      <protection hidden="1"/>
    </xf>
    <xf numFmtId="0" fontId="120" fillId="15" borderId="45" xfId="0" applyFont="1" applyFill="1" applyBorder="1" applyAlignment="1" applyProtection="1">
      <alignment horizontal="center" vertical="center"/>
      <protection hidden="1"/>
    </xf>
    <xf numFmtId="167" fontId="121" fillId="15" borderId="46" xfId="0" applyNumberFormat="1" applyFont="1" applyFill="1" applyBorder="1" applyAlignment="1" applyProtection="1">
      <alignment horizontal="left" vertical="center"/>
      <protection hidden="1"/>
    </xf>
    <xf numFmtId="0" fontId="118" fillId="17" borderId="45" xfId="0" applyFont="1" applyFill="1" applyBorder="1" applyAlignment="1" applyProtection="1">
      <alignment horizontal="center" vertical="center"/>
      <protection hidden="1"/>
    </xf>
    <xf numFmtId="167" fontId="119" fillId="17" borderId="46" xfId="0" applyNumberFormat="1" applyFont="1" applyFill="1" applyBorder="1" applyAlignment="1" applyProtection="1">
      <alignment horizontal="left" vertical="center"/>
      <protection hidden="1"/>
    </xf>
    <xf numFmtId="0" fontId="116" fillId="13" borderId="45" xfId="0" applyFont="1" applyFill="1" applyBorder="1" applyAlignment="1" applyProtection="1">
      <alignment horizontal="center" vertical="center"/>
      <protection hidden="1"/>
    </xf>
    <xf numFmtId="167" fontId="117" fillId="13" borderId="46" xfId="0" applyNumberFormat="1" applyFont="1" applyFill="1" applyBorder="1" applyAlignment="1" applyProtection="1">
      <alignment horizontal="left" vertical="center"/>
      <protection hidden="1"/>
    </xf>
    <xf numFmtId="0" fontId="123" fillId="14" borderId="45" xfId="0" applyFont="1" applyFill="1" applyBorder="1" applyAlignment="1" applyProtection="1">
      <alignment horizontal="center" vertical="center"/>
      <protection hidden="1"/>
    </xf>
    <xf numFmtId="167" fontId="124" fillId="14" borderId="46" xfId="0" applyNumberFormat="1" applyFont="1" applyFill="1" applyBorder="1" applyAlignment="1" applyProtection="1">
      <alignment horizontal="left" vertical="center"/>
      <protection hidden="1"/>
    </xf>
    <xf numFmtId="165" fontId="41" fillId="10" borderId="2" xfId="0" applyNumberFormat="1" applyFont="1" applyFill="1" applyBorder="1" applyAlignment="1" applyProtection="1">
      <alignment horizontal="center" vertical="center"/>
      <protection locked="0"/>
    </xf>
    <xf numFmtId="165" fontId="100" fillId="6" borderId="2" xfId="0" applyNumberFormat="1" applyFont="1" applyFill="1" applyBorder="1" applyAlignment="1" applyProtection="1">
      <alignment horizontal="center" vertical="center"/>
      <protection locked="0"/>
    </xf>
    <xf numFmtId="165" fontId="86" fillId="15" borderId="2" xfId="0" applyNumberFormat="1" applyFont="1" applyFill="1" applyBorder="1" applyAlignment="1" applyProtection="1">
      <alignment horizontal="center" vertical="center"/>
      <protection locked="0"/>
    </xf>
    <xf numFmtId="165" fontId="29" fillId="17" borderId="2" xfId="0" applyNumberFormat="1" applyFont="1" applyFill="1" applyBorder="1" applyAlignment="1" applyProtection="1">
      <alignment horizontal="center" vertical="center"/>
      <protection locked="0"/>
    </xf>
    <xf numFmtId="165" fontId="27" fillId="13" borderId="2" xfId="0" applyNumberFormat="1" applyFont="1" applyFill="1" applyBorder="1" applyAlignment="1" applyProtection="1">
      <alignment horizontal="center" vertical="center"/>
      <protection locked="0"/>
    </xf>
    <xf numFmtId="165" fontId="25" fillId="14" borderId="2" xfId="0" applyNumberFormat="1" applyFont="1" applyFill="1" applyBorder="1" applyAlignment="1" applyProtection="1">
      <alignment horizontal="center" vertical="center"/>
      <protection locked="0"/>
    </xf>
    <xf numFmtId="165" fontId="151" fillId="7" borderId="0" xfId="0" applyNumberFormat="1" applyFont="1" applyFill="1" applyAlignment="1" applyProtection="1">
      <alignment horizontal="center" vertical="center"/>
      <protection hidden="1"/>
    </xf>
    <xf numFmtId="167" fontId="0" fillId="0" borderId="0" xfId="0" applyNumberFormat="1" applyProtection="1">
      <protection hidden="1"/>
    </xf>
    <xf numFmtId="0" fontId="106" fillId="2" borderId="15" xfId="0" applyFont="1" applyFill="1" applyBorder="1" applyAlignment="1" applyProtection="1">
      <alignment horizontal="center" vertical="center" wrapText="1"/>
      <protection hidden="1"/>
    </xf>
    <xf numFmtId="49" fontId="106" fillId="2" borderId="15" xfId="0" applyNumberFormat="1" applyFont="1" applyFill="1" applyBorder="1" applyAlignment="1" applyProtection="1">
      <alignment horizontal="center" vertical="center" wrapText="1"/>
      <protection hidden="1"/>
    </xf>
    <xf numFmtId="49" fontId="106" fillId="2" borderId="44" xfId="0" applyNumberFormat="1" applyFont="1" applyFill="1" applyBorder="1" applyAlignment="1" applyProtection="1">
      <alignment horizontal="center" vertical="center" wrapText="1"/>
      <protection hidden="1"/>
    </xf>
    <xf numFmtId="0" fontId="109" fillId="4" borderId="18" xfId="0" applyFont="1" applyFill="1" applyBorder="1" applyAlignment="1" applyProtection="1">
      <alignment horizontal="center" vertical="center" wrapText="1"/>
      <protection hidden="1"/>
    </xf>
    <xf numFmtId="49" fontId="109" fillId="4" borderId="18" xfId="0" applyNumberFormat="1" applyFont="1" applyFill="1" applyBorder="1" applyAlignment="1" applyProtection="1">
      <alignment horizontal="center" vertical="center" wrapText="1"/>
      <protection hidden="1"/>
    </xf>
    <xf numFmtId="49" fontId="109" fillId="4" borderId="15" xfId="0" applyNumberFormat="1" applyFont="1" applyFill="1" applyBorder="1" applyAlignment="1" applyProtection="1">
      <alignment horizontal="center" vertical="center" wrapText="1"/>
      <protection hidden="1"/>
    </xf>
    <xf numFmtId="49" fontId="109" fillId="4" borderId="44" xfId="0" applyNumberFormat="1" applyFont="1" applyFill="1" applyBorder="1" applyAlignment="1" applyProtection="1">
      <alignment horizontal="center" vertical="center" wrapText="1"/>
      <protection hidden="1"/>
    </xf>
    <xf numFmtId="0" fontId="114" fillId="8" borderId="18" xfId="0" applyFont="1" applyFill="1" applyBorder="1" applyAlignment="1" applyProtection="1">
      <alignment horizontal="center" vertical="center" wrapText="1"/>
      <protection hidden="1"/>
    </xf>
    <xf numFmtId="49" fontId="114" fillId="8" borderId="18" xfId="0" applyNumberFormat="1" applyFont="1" applyFill="1" applyBorder="1" applyAlignment="1" applyProtection="1">
      <alignment horizontal="center" vertical="center" wrapText="1"/>
      <protection hidden="1"/>
    </xf>
    <xf numFmtId="49" fontId="114" fillId="8" borderId="15" xfId="0" applyNumberFormat="1" applyFont="1" applyFill="1" applyBorder="1" applyAlignment="1" applyProtection="1">
      <alignment horizontal="center" vertical="center" wrapText="1"/>
      <protection hidden="1"/>
    </xf>
    <xf numFmtId="49" fontId="114" fillId="8" borderId="44" xfId="0" applyNumberFormat="1" applyFont="1" applyFill="1" applyBorder="1" applyAlignment="1" applyProtection="1">
      <alignment horizontal="center" vertical="center" wrapText="1"/>
      <protection hidden="1"/>
    </xf>
    <xf numFmtId="0" fontId="115" fillId="16" borderId="18" xfId="0" applyFont="1" applyFill="1" applyBorder="1" applyAlignment="1" applyProtection="1">
      <alignment horizontal="center" vertical="center" wrapText="1"/>
      <protection hidden="1"/>
    </xf>
    <xf numFmtId="49" fontId="115" fillId="16" borderId="18" xfId="0" applyNumberFormat="1" applyFont="1" applyFill="1" applyBorder="1" applyAlignment="1" applyProtection="1">
      <alignment horizontal="center" vertical="center" wrapText="1"/>
      <protection hidden="1"/>
    </xf>
    <xf numFmtId="49" fontId="115" fillId="16" borderId="15" xfId="0" applyNumberFormat="1" applyFont="1" applyFill="1" applyBorder="1" applyAlignment="1" applyProtection="1">
      <alignment horizontal="center" vertical="center" wrapText="1"/>
      <protection hidden="1"/>
    </xf>
    <xf numFmtId="49" fontId="115" fillId="16" borderId="44" xfId="0" applyNumberFormat="1" applyFont="1" applyFill="1" applyBorder="1" applyAlignment="1" applyProtection="1">
      <alignment horizontal="center" vertical="center" wrapText="1"/>
      <protection hidden="1"/>
    </xf>
    <xf numFmtId="0" fontId="112" fillId="18" borderId="18" xfId="0" applyFont="1" applyFill="1" applyBorder="1" applyAlignment="1" applyProtection="1">
      <alignment horizontal="center" vertical="center" wrapText="1"/>
      <protection hidden="1"/>
    </xf>
    <xf numFmtId="49" fontId="112" fillId="18" borderId="18" xfId="0" applyNumberFormat="1" applyFont="1" applyFill="1" applyBorder="1" applyAlignment="1" applyProtection="1">
      <alignment horizontal="center" vertical="center" wrapText="1"/>
      <protection hidden="1"/>
    </xf>
    <xf numFmtId="49" fontId="112" fillId="18" borderId="15" xfId="0" applyNumberFormat="1" applyFont="1" applyFill="1" applyBorder="1" applyAlignment="1" applyProtection="1">
      <alignment horizontal="center" vertical="center" wrapText="1"/>
      <protection hidden="1"/>
    </xf>
    <xf numFmtId="49" fontId="112" fillId="18" borderId="44" xfId="0" applyNumberFormat="1" applyFont="1" applyFill="1" applyBorder="1" applyAlignment="1" applyProtection="1">
      <alignment horizontal="center" vertical="center" wrapText="1"/>
      <protection hidden="1"/>
    </xf>
    <xf numFmtId="0" fontId="146" fillId="3" borderId="18" xfId="0" applyFont="1" applyFill="1" applyBorder="1" applyAlignment="1" applyProtection="1">
      <alignment horizontal="center" vertical="center" wrapText="1"/>
      <protection hidden="1"/>
    </xf>
    <xf numFmtId="49" fontId="146" fillId="3" borderId="18" xfId="0" applyNumberFormat="1" applyFont="1" applyFill="1" applyBorder="1" applyAlignment="1" applyProtection="1">
      <alignment horizontal="center" vertical="center" wrapText="1"/>
      <protection hidden="1"/>
    </xf>
    <xf numFmtId="49" fontId="146" fillId="3" borderId="15" xfId="0" applyNumberFormat="1" applyFont="1" applyFill="1" applyBorder="1" applyAlignment="1" applyProtection="1">
      <alignment horizontal="center" vertical="center" wrapText="1"/>
      <protection hidden="1"/>
    </xf>
    <xf numFmtId="49" fontId="146" fillId="3" borderId="44" xfId="0" applyNumberFormat="1" applyFont="1" applyFill="1" applyBorder="1" applyAlignment="1" applyProtection="1">
      <alignment horizontal="center" vertical="center" wrapText="1"/>
      <protection hidden="1"/>
    </xf>
    <xf numFmtId="165" fontId="9" fillId="10" borderId="24" xfId="0" applyNumberFormat="1" applyFont="1" applyFill="1" applyBorder="1" applyAlignment="1" applyProtection="1">
      <alignment horizontal="center" vertical="center"/>
      <protection hidden="1"/>
    </xf>
    <xf numFmtId="167" fontId="9" fillId="10" borderId="2" xfId="0" applyNumberFormat="1" applyFont="1" applyFill="1" applyBorder="1" applyAlignment="1" applyProtection="1">
      <alignment horizontal="left" vertical="center"/>
      <protection hidden="1"/>
    </xf>
    <xf numFmtId="0" fontId="10" fillId="10" borderId="2" xfId="0" applyFont="1" applyFill="1" applyBorder="1" applyAlignment="1" applyProtection="1">
      <alignment horizontal="left" vertical="center"/>
      <protection hidden="1"/>
    </xf>
    <xf numFmtId="0" fontId="149" fillId="7" borderId="0" xfId="0" applyFont="1" applyFill="1" applyAlignment="1" applyProtection="1">
      <alignment vertical="center"/>
      <protection hidden="1"/>
    </xf>
    <xf numFmtId="165" fontId="139" fillId="6" borderId="33" xfId="0" applyNumberFormat="1" applyFont="1" applyFill="1" applyBorder="1" applyAlignment="1" applyProtection="1">
      <alignment horizontal="center" vertical="center"/>
      <protection hidden="1"/>
    </xf>
    <xf numFmtId="167" fontId="139" fillId="6" borderId="1" xfId="0" applyNumberFormat="1" applyFont="1" applyFill="1" applyBorder="1" applyAlignment="1" applyProtection="1">
      <alignment horizontal="left" vertical="center"/>
      <protection hidden="1"/>
    </xf>
    <xf numFmtId="0" fontId="140" fillId="6" borderId="1" xfId="0" applyFont="1" applyFill="1" applyBorder="1" applyAlignment="1" applyProtection="1">
      <alignment horizontal="left" vertical="center"/>
      <protection hidden="1"/>
    </xf>
    <xf numFmtId="165" fontId="133" fillId="15" borderId="33" xfId="0" applyNumberFormat="1" applyFont="1" applyFill="1" applyBorder="1" applyAlignment="1" applyProtection="1">
      <alignment horizontal="center" vertical="center"/>
      <protection hidden="1"/>
    </xf>
    <xf numFmtId="167" fontId="133" fillId="15" borderId="1" xfId="0" applyNumberFormat="1" applyFont="1" applyFill="1" applyBorder="1" applyAlignment="1" applyProtection="1">
      <alignment horizontal="left" vertical="center"/>
      <protection hidden="1"/>
    </xf>
    <xf numFmtId="0" fontId="134" fillId="15" borderId="1" xfId="0" applyFont="1" applyFill="1" applyBorder="1" applyAlignment="1" applyProtection="1">
      <alignment horizontal="left" vertical="center"/>
      <protection hidden="1"/>
    </xf>
    <xf numFmtId="165" fontId="137" fillId="17" borderId="33" xfId="0" applyNumberFormat="1" applyFont="1" applyFill="1" applyBorder="1" applyAlignment="1" applyProtection="1">
      <alignment horizontal="center" vertical="center"/>
      <protection hidden="1"/>
    </xf>
    <xf numFmtId="167" fontId="137" fillId="17" borderId="1" xfId="0" applyNumberFormat="1" applyFont="1" applyFill="1" applyBorder="1" applyAlignment="1" applyProtection="1">
      <alignment horizontal="left" vertical="center"/>
      <protection hidden="1"/>
    </xf>
    <xf numFmtId="0" fontId="138" fillId="17" borderId="1" xfId="0" applyFont="1" applyFill="1" applyBorder="1" applyAlignment="1" applyProtection="1">
      <alignment horizontal="left" vertical="center"/>
      <protection hidden="1"/>
    </xf>
    <xf numFmtId="165" fontId="143" fillId="13" borderId="33" xfId="0" applyNumberFormat="1" applyFont="1" applyFill="1" applyBorder="1" applyAlignment="1" applyProtection="1">
      <alignment horizontal="center" vertical="center"/>
      <protection hidden="1"/>
    </xf>
    <xf numFmtId="167" fontId="143" fillId="13" borderId="1" xfId="0" applyNumberFormat="1" applyFont="1" applyFill="1" applyBorder="1" applyAlignment="1" applyProtection="1">
      <alignment horizontal="left" vertical="center"/>
      <protection hidden="1"/>
    </xf>
    <xf numFmtId="0" fontId="144" fillId="13" borderId="1" xfId="0" applyFont="1" applyFill="1" applyBorder="1" applyAlignment="1" applyProtection="1">
      <alignment horizontal="left" vertical="center"/>
      <protection hidden="1"/>
    </xf>
    <xf numFmtId="165" fontId="129" fillId="14" borderId="33" xfId="0" applyNumberFormat="1" applyFont="1" applyFill="1" applyBorder="1" applyAlignment="1" applyProtection="1">
      <alignment horizontal="center" vertical="center"/>
      <protection hidden="1"/>
    </xf>
    <xf numFmtId="167" fontId="129" fillId="14" borderId="1" xfId="0" applyNumberFormat="1" applyFont="1" applyFill="1" applyBorder="1" applyAlignment="1" applyProtection="1">
      <alignment horizontal="left" vertical="center"/>
      <protection hidden="1"/>
    </xf>
    <xf numFmtId="0" fontId="130" fillId="14" borderId="1" xfId="0" applyFont="1" applyFill="1" applyBorder="1" applyAlignment="1" applyProtection="1">
      <alignment horizontal="left" vertical="center"/>
      <protection hidden="1"/>
    </xf>
    <xf numFmtId="165" fontId="9" fillId="10" borderId="33" xfId="0" applyNumberFormat="1" applyFont="1" applyFill="1" applyBorder="1" applyAlignment="1" applyProtection="1">
      <alignment horizontal="center" vertical="center"/>
      <protection hidden="1"/>
    </xf>
    <xf numFmtId="167" fontId="9" fillId="10" borderId="1" xfId="0" applyNumberFormat="1" applyFont="1" applyFill="1" applyBorder="1" applyAlignment="1" applyProtection="1">
      <alignment horizontal="left" vertical="center"/>
      <protection hidden="1"/>
    </xf>
    <xf numFmtId="0" fontId="10" fillId="10" borderId="1" xfId="0" applyFont="1" applyFill="1" applyBorder="1" applyAlignment="1" applyProtection="1">
      <alignment horizontal="left" vertical="center"/>
      <protection hidden="1"/>
    </xf>
    <xf numFmtId="165" fontId="9" fillId="10" borderId="35" xfId="0" applyNumberFormat="1" applyFont="1" applyFill="1" applyBorder="1" applyAlignment="1" applyProtection="1">
      <alignment horizontal="center" vertical="center"/>
      <protection hidden="1"/>
    </xf>
    <xf numFmtId="167" fontId="9" fillId="10" borderId="36" xfId="0" applyNumberFormat="1" applyFont="1" applyFill="1" applyBorder="1" applyAlignment="1" applyProtection="1">
      <alignment horizontal="left" vertical="center"/>
      <protection hidden="1"/>
    </xf>
    <xf numFmtId="0" fontId="10" fillId="10" borderId="36" xfId="0" applyFont="1" applyFill="1" applyBorder="1" applyAlignment="1" applyProtection="1">
      <alignment horizontal="left" vertical="center"/>
      <protection hidden="1"/>
    </xf>
    <xf numFmtId="165" fontId="139" fillId="6" borderId="35" xfId="0" applyNumberFormat="1" applyFont="1" applyFill="1" applyBorder="1" applyAlignment="1" applyProtection="1">
      <alignment horizontal="center" vertical="center"/>
      <protection hidden="1"/>
    </xf>
    <xf numFmtId="167" fontId="139" fillId="6" borderId="36" xfId="0" applyNumberFormat="1" applyFont="1" applyFill="1" applyBorder="1" applyAlignment="1" applyProtection="1">
      <alignment horizontal="left" vertical="center"/>
      <protection hidden="1"/>
    </xf>
    <xf numFmtId="0" fontId="140" fillId="6" borderId="36" xfId="0" applyFont="1" applyFill="1" applyBorder="1" applyAlignment="1" applyProtection="1">
      <alignment horizontal="left" vertical="center"/>
      <protection hidden="1"/>
    </xf>
    <xf numFmtId="165" fontId="133" fillId="15" borderId="35" xfId="0" applyNumberFormat="1" applyFont="1" applyFill="1" applyBorder="1" applyAlignment="1" applyProtection="1">
      <alignment horizontal="center" vertical="center"/>
      <protection hidden="1"/>
    </xf>
    <xf numFmtId="167" fontId="133" fillId="15" borderId="36" xfId="0" applyNumberFormat="1" applyFont="1" applyFill="1" applyBorder="1" applyAlignment="1" applyProtection="1">
      <alignment horizontal="left" vertical="center"/>
      <protection hidden="1"/>
    </xf>
    <xf numFmtId="0" fontId="134" fillId="15" borderId="36" xfId="0" applyFont="1" applyFill="1" applyBorder="1" applyAlignment="1" applyProtection="1">
      <alignment horizontal="left" vertical="center"/>
      <protection hidden="1"/>
    </xf>
    <xf numFmtId="165" fontId="137" fillId="17" borderId="35" xfId="0" applyNumberFormat="1" applyFont="1" applyFill="1" applyBorder="1" applyAlignment="1" applyProtection="1">
      <alignment horizontal="center" vertical="center"/>
      <protection hidden="1"/>
    </xf>
    <xf numFmtId="167" fontId="137" fillId="17" borderId="36" xfId="0" applyNumberFormat="1" applyFont="1" applyFill="1" applyBorder="1" applyAlignment="1" applyProtection="1">
      <alignment horizontal="left" vertical="center"/>
      <protection hidden="1"/>
    </xf>
    <xf numFmtId="0" fontId="138" fillId="17" borderId="36" xfId="0" applyFont="1" applyFill="1" applyBorder="1" applyAlignment="1" applyProtection="1">
      <alignment horizontal="left" vertical="center"/>
      <protection hidden="1"/>
    </xf>
    <xf numFmtId="165" fontId="143" fillId="13" borderId="35" xfId="0" applyNumberFormat="1" applyFont="1" applyFill="1" applyBorder="1" applyAlignment="1" applyProtection="1">
      <alignment horizontal="center" vertical="center"/>
      <protection hidden="1"/>
    </xf>
    <xf numFmtId="167" fontId="143" fillId="13" borderId="36" xfId="0" applyNumberFormat="1" applyFont="1" applyFill="1" applyBorder="1" applyAlignment="1" applyProtection="1">
      <alignment horizontal="left" vertical="center"/>
      <protection hidden="1"/>
    </xf>
    <xf numFmtId="0" fontId="144" fillId="13" borderId="36" xfId="0" applyFont="1" applyFill="1" applyBorder="1" applyAlignment="1" applyProtection="1">
      <alignment horizontal="left" vertical="center"/>
      <protection hidden="1"/>
    </xf>
    <xf numFmtId="165" fontId="129" fillId="14" borderId="35" xfId="0" applyNumberFormat="1" applyFont="1" applyFill="1" applyBorder="1" applyAlignment="1" applyProtection="1">
      <alignment horizontal="center" vertical="center"/>
      <protection hidden="1"/>
    </xf>
    <xf numFmtId="167" fontId="129" fillId="14" borderId="36" xfId="0" applyNumberFormat="1" applyFont="1" applyFill="1" applyBorder="1" applyAlignment="1" applyProtection="1">
      <alignment horizontal="left" vertical="center"/>
      <protection hidden="1"/>
    </xf>
    <xf numFmtId="0" fontId="130" fillId="14" borderId="36" xfId="0" applyFont="1" applyFill="1" applyBorder="1" applyAlignment="1" applyProtection="1">
      <alignment horizontal="left" vertical="center"/>
      <protection hidden="1"/>
    </xf>
    <xf numFmtId="0" fontId="9" fillId="10" borderId="2" xfId="0" applyFont="1" applyFill="1" applyBorder="1" applyAlignment="1" applyProtection="1">
      <alignment horizontal="center" vertical="center"/>
      <protection locked="0"/>
    </xf>
    <xf numFmtId="0" fontId="10" fillId="10" borderId="2" xfId="0" applyFont="1" applyFill="1" applyBorder="1" applyAlignment="1" applyProtection="1">
      <alignment vertical="center"/>
      <protection locked="0"/>
    </xf>
    <xf numFmtId="0" fontId="10" fillId="10" borderId="2" xfId="0" applyFont="1" applyFill="1" applyBorder="1" applyAlignment="1" applyProtection="1">
      <alignment horizontal="center" vertical="center"/>
      <protection locked="0"/>
    </xf>
    <xf numFmtId="0" fontId="10" fillId="10" borderId="25" xfId="0" applyFont="1" applyFill="1" applyBorder="1" applyAlignment="1" applyProtection="1">
      <alignment horizontal="center" vertical="center"/>
      <protection locked="0"/>
    </xf>
    <xf numFmtId="0" fontId="9" fillId="10" borderId="1" xfId="0" applyFont="1" applyFill="1" applyBorder="1" applyAlignment="1" applyProtection="1">
      <alignment horizontal="center" vertical="center"/>
      <protection locked="0"/>
    </xf>
    <xf numFmtId="0" fontId="10" fillId="10" borderId="1" xfId="0" applyFont="1" applyFill="1" applyBorder="1" applyAlignment="1" applyProtection="1">
      <alignment vertical="center"/>
      <protection locked="0"/>
    </xf>
    <xf numFmtId="0" fontId="10" fillId="10" borderId="1" xfId="0" applyFont="1" applyFill="1" applyBorder="1" applyAlignment="1" applyProtection="1">
      <alignment horizontal="center" vertical="center"/>
      <protection locked="0"/>
    </xf>
    <xf numFmtId="0" fontId="10" fillId="10" borderId="34" xfId="0" applyFont="1" applyFill="1" applyBorder="1" applyAlignment="1" applyProtection="1">
      <alignment horizontal="center" vertical="center"/>
      <protection locked="0"/>
    </xf>
    <xf numFmtId="0" fontId="9" fillId="10" borderId="36" xfId="0" applyFont="1" applyFill="1" applyBorder="1" applyAlignment="1" applyProtection="1">
      <alignment horizontal="center" vertical="center"/>
      <protection locked="0"/>
    </xf>
    <xf numFmtId="0" fontId="10" fillId="10" borderId="36" xfId="0" applyFont="1" applyFill="1" applyBorder="1" applyAlignment="1" applyProtection="1">
      <alignment vertical="center"/>
      <protection locked="0"/>
    </xf>
    <xf numFmtId="0" fontId="10" fillId="10" borderId="36" xfId="0" applyFont="1" applyFill="1" applyBorder="1" applyAlignment="1" applyProtection="1">
      <alignment horizontal="center" vertical="center"/>
      <protection locked="0"/>
    </xf>
    <xf numFmtId="0" fontId="10" fillId="10" borderId="37" xfId="0" applyFont="1" applyFill="1" applyBorder="1" applyAlignment="1" applyProtection="1">
      <alignment horizontal="center" vertical="center"/>
      <protection locked="0"/>
    </xf>
    <xf numFmtId="0" fontId="139" fillId="6" borderId="1" xfId="0" applyFont="1" applyFill="1" applyBorder="1" applyAlignment="1" applyProtection="1">
      <alignment horizontal="center" vertical="center"/>
      <protection locked="0"/>
    </xf>
    <xf numFmtId="0" fontId="140" fillId="6" borderId="1" xfId="0" applyFont="1" applyFill="1" applyBorder="1" applyAlignment="1" applyProtection="1">
      <alignment vertical="center"/>
      <protection locked="0"/>
    </xf>
    <xf numFmtId="0" fontId="140" fillId="6" borderId="1" xfId="0" applyFont="1" applyFill="1" applyBorder="1" applyAlignment="1" applyProtection="1">
      <alignment horizontal="center" vertical="center"/>
      <protection locked="0"/>
    </xf>
    <xf numFmtId="0" fontId="140" fillId="6" borderId="34" xfId="0" applyFont="1" applyFill="1" applyBorder="1" applyAlignment="1" applyProtection="1">
      <alignment horizontal="center" vertical="center"/>
      <protection locked="0"/>
    </xf>
    <xf numFmtId="0" fontId="139" fillId="6" borderId="36" xfId="0" applyFont="1" applyFill="1" applyBorder="1" applyAlignment="1" applyProtection="1">
      <alignment horizontal="center" vertical="center"/>
      <protection locked="0"/>
    </xf>
    <xf numFmtId="0" fontId="140" fillId="6" borderId="36" xfId="0" applyFont="1" applyFill="1" applyBorder="1" applyAlignment="1" applyProtection="1">
      <alignment vertical="center"/>
      <protection locked="0"/>
    </xf>
    <xf numFmtId="0" fontId="140" fillId="6" borderId="36" xfId="0" applyFont="1" applyFill="1" applyBorder="1" applyAlignment="1" applyProtection="1">
      <alignment horizontal="center" vertical="center"/>
      <protection locked="0"/>
    </xf>
    <xf numFmtId="0" fontId="140" fillId="6" borderId="37" xfId="0" applyFont="1" applyFill="1" applyBorder="1" applyAlignment="1" applyProtection="1">
      <alignment horizontal="center" vertical="center"/>
      <protection locked="0"/>
    </xf>
    <xf numFmtId="0" fontId="133" fillId="15" borderId="1" xfId="0" applyFont="1" applyFill="1" applyBorder="1" applyAlignment="1" applyProtection="1">
      <alignment horizontal="center" vertical="center"/>
      <protection locked="0"/>
    </xf>
    <xf numFmtId="0" fontId="134" fillId="15" borderId="1" xfId="0" applyFont="1" applyFill="1" applyBorder="1" applyAlignment="1" applyProtection="1">
      <alignment vertical="center"/>
      <protection locked="0"/>
    </xf>
    <xf numFmtId="0" fontId="134" fillId="15" borderId="1" xfId="0" applyFont="1" applyFill="1" applyBorder="1" applyAlignment="1" applyProtection="1">
      <alignment horizontal="center" vertical="center"/>
      <protection locked="0"/>
    </xf>
    <xf numFmtId="0" fontId="134" fillId="15" borderId="34" xfId="0" applyFont="1" applyFill="1" applyBorder="1" applyAlignment="1" applyProtection="1">
      <alignment horizontal="center" vertical="center"/>
      <protection locked="0"/>
    </xf>
    <xf numFmtId="0" fontId="133" fillId="15" borderId="36" xfId="0" applyFont="1" applyFill="1" applyBorder="1" applyAlignment="1" applyProtection="1">
      <alignment horizontal="center" vertical="center"/>
      <protection locked="0"/>
    </xf>
    <xf numFmtId="0" fontId="134" fillId="15" borderId="36" xfId="0" applyFont="1" applyFill="1" applyBorder="1" applyAlignment="1" applyProtection="1">
      <alignment vertical="center"/>
      <protection locked="0"/>
    </xf>
    <xf numFmtId="0" fontId="134" fillId="15" borderId="36" xfId="0" applyFont="1" applyFill="1" applyBorder="1" applyAlignment="1" applyProtection="1">
      <alignment horizontal="center" vertical="center"/>
      <protection locked="0"/>
    </xf>
    <xf numFmtId="0" fontId="134" fillId="15" borderId="37" xfId="0" applyFont="1" applyFill="1" applyBorder="1" applyAlignment="1" applyProtection="1">
      <alignment horizontal="center" vertical="center"/>
      <protection locked="0"/>
    </xf>
    <xf numFmtId="0" fontId="137" fillId="17" borderId="1" xfId="0" applyFont="1" applyFill="1" applyBorder="1" applyAlignment="1" applyProtection="1">
      <alignment horizontal="center" vertical="center"/>
      <protection locked="0"/>
    </xf>
    <xf numFmtId="0" fontId="138" fillId="17" borderId="1" xfId="0" applyFont="1" applyFill="1" applyBorder="1" applyAlignment="1" applyProtection="1">
      <alignment vertical="center"/>
      <protection locked="0"/>
    </xf>
    <xf numFmtId="0" fontId="138" fillId="17" borderId="1" xfId="0" applyFont="1" applyFill="1" applyBorder="1" applyAlignment="1" applyProtection="1">
      <alignment horizontal="center" vertical="center"/>
      <protection locked="0"/>
    </xf>
    <xf numFmtId="0" fontId="138" fillId="17" borderId="34" xfId="0" applyFont="1" applyFill="1" applyBorder="1" applyAlignment="1" applyProtection="1">
      <alignment horizontal="center" vertical="center"/>
      <protection locked="0"/>
    </xf>
    <xf numFmtId="0" fontId="137" fillId="17" borderId="36" xfId="0" applyFont="1" applyFill="1" applyBorder="1" applyAlignment="1" applyProtection="1">
      <alignment horizontal="center" vertical="center"/>
      <protection locked="0"/>
    </xf>
    <xf numFmtId="0" fontId="138" fillId="17" borderId="36" xfId="0" applyFont="1" applyFill="1" applyBorder="1" applyAlignment="1" applyProtection="1">
      <alignment vertical="center"/>
      <protection locked="0"/>
    </xf>
    <xf numFmtId="0" fontId="138" fillId="17" borderId="36" xfId="0" applyFont="1" applyFill="1" applyBorder="1" applyAlignment="1" applyProtection="1">
      <alignment horizontal="center" vertical="center"/>
      <protection locked="0"/>
    </xf>
    <xf numFmtId="0" fontId="138" fillId="17" borderId="37" xfId="0" applyFont="1" applyFill="1" applyBorder="1" applyAlignment="1" applyProtection="1">
      <alignment horizontal="center" vertical="center"/>
      <protection locked="0"/>
    </xf>
    <xf numFmtId="0" fontId="143" fillId="13" borderId="1" xfId="0" applyFont="1" applyFill="1" applyBorder="1" applyAlignment="1" applyProtection="1">
      <alignment horizontal="center" vertical="center"/>
      <protection locked="0"/>
    </xf>
    <xf numFmtId="0" fontId="144" fillId="13" borderId="1" xfId="0" applyFont="1" applyFill="1" applyBorder="1" applyAlignment="1" applyProtection="1">
      <alignment vertical="center"/>
      <protection locked="0"/>
    </xf>
    <xf numFmtId="0" fontId="144" fillId="13" borderId="1" xfId="0" applyFont="1" applyFill="1" applyBorder="1" applyAlignment="1" applyProtection="1">
      <alignment horizontal="center" vertical="center"/>
      <protection locked="0"/>
    </xf>
    <xf numFmtId="0" fontId="144" fillId="13" borderId="34" xfId="0" applyFont="1" applyFill="1" applyBorder="1" applyAlignment="1" applyProtection="1">
      <alignment horizontal="center" vertical="center"/>
      <protection locked="0"/>
    </xf>
    <xf numFmtId="0" fontId="143" fillId="13" borderId="36" xfId="0" applyFont="1" applyFill="1" applyBorder="1" applyAlignment="1" applyProtection="1">
      <alignment horizontal="center" vertical="center"/>
      <protection locked="0"/>
    </xf>
    <xf numFmtId="0" fontId="144" fillId="13" borderId="36" xfId="0" applyFont="1" applyFill="1" applyBorder="1" applyAlignment="1" applyProtection="1">
      <alignment vertical="center"/>
      <protection locked="0"/>
    </xf>
    <xf numFmtId="0" fontId="144" fillId="13" borderId="36" xfId="0" applyFont="1" applyFill="1" applyBorder="1" applyAlignment="1" applyProtection="1">
      <alignment horizontal="center" vertical="center"/>
      <protection locked="0"/>
    </xf>
    <xf numFmtId="0" fontId="144" fillId="13" borderId="37" xfId="0" applyFont="1" applyFill="1" applyBorder="1" applyAlignment="1" applyProtection="1">
      <alignment horizontal="center" vertical="center"/>
      <protection locked="0"/>
    </xf>
    <xf numFmtId="0" fontId="129" fillId="14" borderId="1" xfId="0" applyFont="1" applyFill="1" applyBorder="1" applyAlignment="1" applyProtection="1">
      <alignment horizontal="center" vertical="center"/>
      <protection locked="0"/>
    </xf>
    <xf numFmtId="0" fontId="130" fillId="14" borderId="1" xfId="0" applyFont="1" applyFill="1" applyBorder="1" applyAlignment="1" applyProtection="1">
      <alignment vertical="center"/>
      <protection locked="0"/>
    </xf>
    <xf numFmtId="0" fontId="130" fillId="14" borderId="1" xfId="0" applyFont="1" applyFill="1" applyBorder="1" applyAlignment="1" applyProtection="1">
      <alignment horizontal="center" vertical="center"/>
      <protection locked="0"/>
    </xf>
    <xf numFmtId="0" fontId="130" fillId="14" borderId="34" xfId="0" applyFont="1" applyFill="1" applyBorder="1" applyAlignment="1" applyProtection="1">
      <alignment horizontal="center" vertical="center"/>
      <protection locked="0"/>
    </xf>
    <xf numFmtId="0" fontId="129" fillId="14" borderId="36" xfId="0" applyFont="1" applyFill="1" applyBorder="1" applyAlignment="1" applyProtection="1">
      <alignment horizontal="center" vertical="center"/>
      <protection locked="0"/>
    </xf>
    <xf numFmtId="0" fontId="130" fillId="14" borderId="36" xfId="0" applyFont="1" applyFill="1" applyBorder="1" applyAlignment="1" applyProtection="1">
      <alignment vertical="center"/>
      <protection locked="0"/>
    </xf>
    <xf numFmtId="0" fontId="130" fillId="14" borderId="36" xfId="0" applyFont="1" applyFill="1" applyBorder="1" applyAlignment="1" applyProtection="1">
      <alignment horizontal="center" vertical="center"/>
      <protection locked="0"/>
    </xf>
    <xf numFmtId="0" fontId="130" fillId="14" borderId="37" xfId="0" applyFont="1" applyFill="1" applyBorder="1" applyAlignment="1" applyProtection="1">
      <alignment horizontal="center" vertical="center"/>
      <protection locked="0"/>
    </xf>
    <xf numFmtId="0" fontId="87" fillId="11" borderId="2" xfId="0" applyFont="1" applyFill="1" applyBorder="1" applyAlignment="1" applyProtection="1">
      <alignment horizontal="left" vertical="center"/>
      <protection locked="0"/>
    </xf>
    <xf numFmtId="0" fontId="87" fillId="11" borderId="1" xfId="0" applyFont="1" applyFill="1" applyBorder="1" applyAlignment="1" applyProtection="1">
      <alignment horizontal="left" vertical="center"/>
      <protection locked="0"/>
    </xf>
    <xf numFmtId="0" fontId="104" fillId="2" borderId="15" xfId="0" applyFont="1" applyFill="1" applyBorder="1" applyAlignment="1" applyProtection="1">
      <alignment horizontal="center" vertical="center"/>
      <protection hidden="1"/>
    </xf>
    <xf numFmtId="0" fontId="113" fillId="2" borderId="15" xfId="0" applyFont="1" applyFill="1" applyBorder="1" applyAlignment="1" applyProtection="1">
      <alignment horizontal="center" vertical="center"/>
      <protection hidden="1"/>
    </xf>
    <xf numFmtId="164" fontId="89" fillId="2" borderId="15" xfId="0" applyNumberFormat="1" applyFont="1" applyFill="1" applyBorder="1" applyAlignment="1" applyProtection="1">
      <alignment horizontal="center" vertical="center"/>
      <protection hidden="1"/>
    </xf>
    <xf numFmtId="164" fontId="104" fillId="2" borderId="15" xfId="0" applyNumberFormat="1" applyFont="1" applyFill="1" applyBorder="1" applyAlignment="1" applyProtection="1">
      <alignment horizontal="center" vertical="center"/>
      <protection hidden="1"/>
    </xf>
    <xf numFmtId="164" fontId="113" fillId="2" borderId="15" xfId="0" applyNumberFormat="1" applyFont="1" applyFill="1" applyBorder="1" applyAlignment="1" applyProtection="1">
      <alignment horizontal="center" vertical="center"/>
      <protection hidden="1"/>
    </xf>
    <xf numFmtId="164" fontId="62" fillId="2" borderId="15" xfId="0" applyNumberFormat="1" applyFont="1" applyFill="1" applyBorder="1" applyAlignment="1" applyProtection="1">
      <alignment horizontal="center" vertical="center"/>
      <protection hidden="1"/>
    </xf>
    <xf numFmtId="164" fontId="177" fillId="2" borderId="15" xfId="0" applyNumberFormat="1" applyFont="1" applyFill="1" applyBorder="1" applyAlignment="1" applyProtection="1">
      <alignment horizontal="center" vertical="center"/>
      <protection hidden="1"/>
    </xf>
    <xf numFmtId="2" fontId="27" fillId="6" borderId="2" xfId="0" applyNumberFormat="1" applyFont="1" applyFill="1" applyBorder="1" applyAlignment="1" applyProtection="1">
      <alignment horizontal="right" vertical="center"/>
      <protection locked="0"/>
    </xf>
    <xf numFmtId="2" fontId="74" fillId="6" borderId="2" xfId="0" applyNumberFormat="1" applyFont="1" applyFill="1" applyBorder="1" applyAlignment="1" applyProtection="1">
      <alignment horizontal="right" vertical="center" wrapText="1"/>
      <protection locked="0"/>
    </xf>
    <xf numFmtId="2" fontId="29" fillId="6" borderId="2" xfId="0" applyNumberFormat="1" applyFont="1" applyFill="1" applyBorder="1" applyAlignment="1" applyProtection="1">
      <alignment horizontal="right" vertical="center" wrapText="1"/>
      <protection locked="0"/>
    </xf>
    <xf numFmtId="2" fontId="52" fillId="6" borderId="2" xfId="0" applyNumberFormat="1" applyFont="1" applyFill="1" applyBorder="1" applyAlignment="1" applyProtection="1">
      <alignment horizontal="right" vertical="center"/>
      <protection hidden="1"/>
    </xf>
    <xf numFmtId="2" fontId="30" fillId="6" borderId="2" xfId="0" applyNumberFormat="1" applyFont="1" applyFill="1" applyBorder="1" applyAlignment="1" applyProtection="1">
      <alignment horizontal="right" vertical="center"/>
      <protection hidden="1"/>
    </xf>
    <xf numFmtId="2" fontId="28" fillId="6" borderId="2" xfId="0" applyNumberFormat="1" applyFont="1" applyFill="1" applyBorder="1" applyAlignment="1" applyProtection="1">
      <alignment horizontal="right" vertical="center" wrapText="1"/>
      <protection hidden="1"/>
    </xf>
    <xf numFmtId="0" fontId="73" fillId="2" borderId="18" xfId="0" applyFont="1" applyFill="1" applyBorder="1" applyAlignment="1" applyProtection="1">
      <alignment horizontal="center" vertical="center"/>
      <protection hidden="1"/>
    </xf>
    <xf numFmtId="0" fontId="73" fillId="2" borderId="18" xfId="0" applyFont="1" applyFill="1" applyBorder="1" applyAlignment="1" applyProtection="1">
      <alignment horizontal="left" vertical="center" wrapText="1"/>
      <protection hidden="1"/>
    </xf>
    <xf numFmtId="2" fontId="27" fillId="6" borderId="3" xfId="0" applyNumberFormat="1" applyFont="1" applyFill="1" applyBorder="1" applyAlignment="1" applyProtection="1">
      <alignment horizontal="right" vertical="center"/>
      <protection locked="0"/>
    </xf>
    <xf numFmtId="2" fontId="74" fillId="6" borderId="3" xfId="0" applyNumberFormat="1" applyFont="1" applyFill="1" applyBorder="1" applyAlignment="1" applyProtection="1">
      <alignment horizontal="right" vertical="center" wrapText="1"/>
      <protection locked="0"/>
    </xf>
    <xf numFmtId="2" fontId="29" fillId="6" borderId="3" xfId="0" applyNumberFormat="1" applyFont="1" applyFill="1" applyBorder="1" applyAlignment="1" applyProtection="1">
      <alignment horizontal="right" vertical="center" wrapText="1"/>
      <protection locked="0"/>
    </xf>
    <xf numFmtId="2" fontId="27" fillId="6" borderId="3" xfId="0" applyNumberFormat="1" applyFont="1" applyFill="1" applyBorder="1" applyAlignment="1" applyProtection="1">
      <alignment horizontal="right" vertical="center"/>
      <protection hidden="1"/>
    </xf>
    <xf numFmtId="2" fontId="28" fillId="6" borderId="3" xfId="0" applyNumberFormat="1" applyFont="1" applyFill="1" applyBorder="1" applyAlignment="1" applyProtection="1">
      <alignment horizontal="right" vertical="center" wrapText="1"/>
      <protection hidden="1"/>
    </xf>
    <xf numFmtId="2" fontId="52" fillId="6" borderId="3" xfId="0" applyNumberFormat="1" applyFont="1" applyFill="1" applyBorder="1" applyAlignment="1" applyProtection="1">
      <alignment horizontal="right" vertical="center"/>
      <protection hidden="1"/>
    </xf>
    <xf numFmtId="2" fontId="29" fillId="6" borderId="3" xfId="0" applyNumberFormat="1" applyFont="1" applyFill="1" applyBorder="1" applyAlignment="1" applyProtection="1">
      <alignment horizontal="right" vertical="center"/>
      <protection hidden="1"/>
    </xf>
    <xf numFmtId="2" fontId="30" fillId="6" borderId="3" xfId="0" applyNumberFormat="1" applyFont="1" applyFill="1" applyBorder="1" applyAlignment="1" applyProtection="1">
      <alignment horizontal="right" vertical="center"/>
      <protection hidden="1"/>
    </xf>
    <xf numFmtId="0" fontId="66" fillId="0" borderId="39" xfId="0" applyFont="1" applyBorder="1" applyAlignment="1" applyProtection="1">
      <protection hidden="1"/>
    </xf>
    <xf numFmtId="0" fontId="66" fillId="0" borderId="39" xfId="0" applyFont="1" applyBorder="1" applyAlignment="1" applyProtection="1">
      <alignment horizontal="right"/>
      <protection hidden="1"/>
    </xf>
    <xf numFmtId="0" fontId="6" fillId="7" borderId="56" xfId="0" applyFont="1" applyFill="1" applyBorder="1" applyAlignment="1" applyProtection="1">
      <alignment vertical="center"/>
      <protection hidden="1"/>
    </xf>
    <xf numFmtId="0" fontId="6" fillId="7" borderId="57" xfId="0" applyFont="1" applyFill="1" applyBorder="1" applyAlignment="1" applyProtection="1">
      <alignment vertical="center"/>
      <protection hidden="1"/>
    </xf>
    <xf numFmtId="0" fontId="6" fillId="7" borderId="58" xfId="0" applyFont="1" applyFill="1" applyBorder="1" applyAlignment="1" applyProtection="1">
      <alignment vertical="center"/>
      <protection hidden="1"/>
    </xf>
    <xf numFmtId="0" fontId="5" fillId="7" borderId="38" xfId="0" applyFont="1" applyFill="1" applyBorder="1" applyAlignment="1" applyProtection="1">
      <alignment vertical="center" wrapText="1"/>
      <protection hidden="1"/>
    </xf>
    <xf numFmtId="0" fontId="5" fillId="7" borderId="28" xfId="0" applyFont="1" applyFill="1" applyBorder="1" applyAlignment="1" applyProtection="1">
      <alignment vertical="center" wrapText="1"/>
      <protection hidden="1"/>
    </xf>
    <xf numFmtId="0" fontId="5" fillId="7" borderId="14" xfId="0" applyFont="1" applyFill="1" applyBorder="1" applyAlignment="1" applyProtection="1">
      <alignment vertical="center" wrapText="1"/>
      <protection hidden="1"/>
    </xf>
    <xf numFmtId="0" fontId="5" fillId="7" borderId="0" xfId="0" applyFont="1" applyFill="1" applyBorder="1" applyAlignment="1" applyProtection="1">
      <alignment vertical="center" wrapText="1"/>
      <protection hidden="1"/>
    </xf>
    <xf numFmtId="0" fontId="5" fillId="7" borderId="55" xfId="0" applyFont="1" applyFill="1" applyBorder="1" applyAlignment="1" applyProtection="1">
      <alignment vertical="center" wrapText="1"/>
      <protection hidden="1"/>
    </xf>
    <xf numFmtId="0" fontId="5" fillId="7" borderId="54" xfId="0" applyFont="1" applyFill="1" applyBorder="1" applyAlignment="1" applyProtection="1">
      <alignment vertical="center" wrapText="1"/>
      <protection hidden="1"/>
    </xf>
    <xf numFmtId="0" fontId="5" fillId="7" borderId="0" xfId="0" applyFont="1" applyFill="1" applyAlignment="1" applyProtection="1">
      <alignment vertical="center"/>
      <protection hidden="1"/>
    </xf>
    <xf numFmtId="0" fontId="146" fillId="3" borderId="18" xfId="0" applyFont="1" applyFill="1" applyBorder="1" applyAlignment="1" applyProtection="1">
      <alignment horizontal="center" vertical="center" wrapText="1"/>
      <protection hidden="1"/>
    </xf>
    <xf numFmtId="0" fontId="112" fillId="18" borderId="18" xfId="0" applyFont="1" applyFill="1" applyBorder="1" applyAlignment="1" applyProtection="1">
      <alignment horizontal="center" vertical="center" wrapText="1"/>
      <protection hidden="1"/>
    </xf>
    <xf numFmtId="0" fontId="114" fillId="8" borderId="18" xfId="0" applyFont="1" applyFill="1" applyBorder="1" applyAlignment="1" applyProtection="1">
      <alignment horizontal="center" vertical="center" wrapText="1"/>
      <protection hidden="1"/>
    </xf>
    <xf numFmtId="0" fontId="109" fillId="4" borderId="18" xfId="0" applyFont="1" applyFill="1" applyBorder="1" applyAlignment="1" applyProtection="1">
      <alignment horizontal="center" vertical="center" wrapText="1"/>
      <protection hidden="1"/>
    </xf>
    <xf numFmtId="0" fontId="115" fillId="16" borderId="18" xfId="0" applyFont="1" applyFill="1" applyBorder="1" applyAlignment="1" applyProtection="1">
      <alignment horizontal="center" vertical="center" wrapText="1"/>
      <protection hidden="1"/>
    </xf>
    <xf numFmtId="0" fontId="11" fillId="2" borderId="15" xfId="0" applyFont="1" applyFill="1" applyBorder="1" applyAlignment="1" applyProtection="1">
      <alignment horizontal="center" vertical="center" wrapText="1"/>
      <protection hidden="1"/>
    </xf>
    <xf numFmtId="0" fontId="17" fillId="9" borderId="15"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protection hidden="1"/>
    </xf>
    <xf numFmtId="0" fontId="3" fillId="0" borderId="1" xfId="0" applyFont="1" applyBorder="1" applyAlignment="1" applyProtection="1">
      <alignment horizontal="center" vertical="center"/>
      <protection hidden="1"/>
    </xf>
    <xf numFmtId="0" fontId="180" fillId="0" borderId="0" xfId="0" applyFont="1" applyProtection="1">
      <protection hidden="1"/>
    </xf>
    <xf numFmtId="0" fontId="22" fillId="0" borderId="36" xfId="0" applyFont="1" applyBorder="1" applyAlignment="1" applyProtection="1">
      <alignment horizontal="center" vertical="center"/>
      <protection hidden="1"/>
    </xf>
    <xf numFmtId="0" fontId="22" fillId="0" borderId="37" xfId="0" applyFont="1" applyBorder="1" applyAlignment="1" applyProtection="1">
      <alignment horizontal="center" vertical="center"/>
      <protection hidden="1"/>
    </xf>
    <xf numFmtId="0" fontId="99" fillId="2" borderId="52" xfId="0" applyFont="1" applyFill="1" applyBorder="1" applyAlignment="1" applyProtection="1">
      <alignment horizontal="center" vertical="center" wrapText="1"/>
      <protection hidden="1"/>
    </xf>
    <xf numFmtId="0" fontId="99" fillId="2" borderId="0" xfId="0" applyFont="1" applyFill="1" applyBorder="1" applyAlignment="1" applyProtection="1">
      <alignment horizontal="center" vertical="center" wrapText="1"/>
      <protection hidden="1"/>
    </xf>
    <xf numFmtId="0" fontId="90" fillId="2" borderId="15" xfId="0" applyFont="1" applyFill="1" applyBorder="1" applyAlignment="1" applyProtection="1">
      <alignment horizontal="center" vertical="center"/>
      <protection hidden="1"/>
    </xf>
    <xf numFmtId="0" fontId="21" fillId="0" borderId="0" xfId="0" applyFont="1" applyAlignment="1" applyProtection="1">
      <alignment horizontal="center" vertical="center"/>
      <protection hidden="1"/>
    </xf>
    <xf numFmtId="2" fontId="74" fillId="6" borderId="2" xfId="0" applyNumberFormat="1" applyFont="1" applyFill="1" applyBorder="1" applyAlignment="1" applyProtection="1">
      <alignment horizontal="right" vertical="center" wrapText="1"/>
      <protection hidden="1"/>
    </xf>
    <xf numFmtId="2" fontId="29" fillId="6" borderId="2" xfId="0" applyNumberFormat="1" applyFont="1" applyFill="1" applyBorder="1" applyAlignment="1" applyProtection="1">
      <alignment horizontal="right" vertical="center" wrapText="1"/>
      <protection hidden="1"/>
    </xf>
    <xf numFmtId="2" fontId="74" fillId="6" borderId="3" xfId="0" applyNumberFormat="1" applyFont="1" applyFill="1" applyBorder="1" applyAlignment="1" applyProtection="1">
      <alignment horizontal="right" vertical="center" wrapText="1"/>
      <protection hidden="1"/>
    </xf>
    <xf numFmtId="2" fontId="29" fillId="6" borderId="3" xfId="0" applyNumberFormat="1" applyFont="1" applyFill="1" applyBorder="1" applyAlignment="1" applyProtection="1">
      <alignment horizontal="right" vertical="center" wrapText="1"/>
      <protection hidden="1"/>
    </xf>
    <xf numFmtId="2" fontId="113" fillId="2" borderId="15" xfId="0" applyNumberFormat="1" applyFont="1" applyFill="1" applyBorder="1" applyAlignment="1" applyProtection="1">
      <alignment horizontal="center" vertical="center"/>
      <protection hidden="1"/>
    </xf>
    <xf numFmtId="2" fontId="89" fillId="2" borderId="15" xfId="0" applyNumberFormat="1" applyFont="1" applyFill="1" applyBorder="1" applyAlignment="1" applyProtection="1">
      <alignment horizontal="center" vertical="center"/>
      <protection hidden="1"/>
    </xf>
    <xf numFmtId="2" fontId="92" fillId="2" borderId="15" xfId="0" applyNumberFormat="1" applyFont="1" applyFill="1" applyBorder="1" applyAlignment="1" applyProtection="1">
      <alignment horizontal="center" vertical="center"/>
      <protection hidden="1"/>
    </xf>
    <xf numFmtId="0" fontId="179" fillId="7" borderId="0" xfId="0" applyFont="1" applyFill="1" applyAlignment="1" applyProtection="1">
      <alignment horizontal="center" vertical="center"/>
      <protection locked="0"/>
    </xf>
    <xf numFmtId="0" fontId="74" fillId="11" borderId="7" xfId="0" applyFont="1" applyFill="1" applyBorder="1" applyAlignment="1" applyProtection="1">
      <alignment horizontal="center" vertical="center"/>
      <protection hidden="1"/>
    </xf>
    <xf numFmtId="0" fontId="86" fillId="11" borderId="2" xfId="0" applyFont="1" applyFill="1" applyBorder="1" applyAlignment="1" applyProtection="1">
      <alignment horizontal="center" vertical="center"/>
      <protection hidden="1"/>
    </xf>
    <xf numFmtId="0" fontId="27" fillId="11" borderId="2" xfId="0" applyFont="1" applyFill="1" applyBorder="1" applyAlignment="1" applyProtection="1">
      <alignment horizontal="center" vertical="center"/>
      <protection hidden="1"/>
    </xf>
    <xf numFmtId="0" fontId="31" fillId="11" borderId="1" xfId="0" applyFont="1" applyFill="1" applyBorder="1" applyAlignment="1" applyProtection="1">
      <alignment horizontal="center" vertical="center"/>
      <protection hidden="1"/>
    </xf>
    <xf numFmtId="0" fontId="29" fillId="11" borderId="1" xfId="0" applyFont="1" applyFill="1" applyBorder="1" applyAlignment="1" applyProtection="1">
      <alignment horizontal="center" vertical="center"/>
      <protection hidden="1"/>
    </xf>
    <xf numFmtId="0" fontId="98" fillId="11" borderId="1" xfId="0" applyFont="1" applyFill="1" applyBorder="1" applyAlignment="1" applyProtection="1">
      <alignment horizontal="center" vertical="center"/>
      <protection hidden="1"/>
    </xf>
    <xf numFmtId="49" fontId="0" fillId="0" borderId="0" xfId="0" applyNumberFormat="1" applyProtection="1">
      <protection hidden="1"/>
    </xf>
    <xf numFmtId="0" fontId="32" fillId="12" borderId="7" xfId="0" applyFont="1" applyFill="1" applyBorder="1" applyAlignment="1" applyProtection="1">
      <alignment horizontal="left" vertical="center" wrapText="1"/>
      <protection locked="0"/>
    </xf>
    <xf numFmtId="0" fontId="32" fillId="12" borderId="2" xfId="0" applyFont="1" applyFill="1" applyBorder="1" applyAlignment="1" applyProtection="1">
      <alignment horizontal="center" vertical="center" wrapText="1"/>
      <protection locked="0"/>
    </xf>
    <xf numFmtId="0" fontId="28" fillId="12" borderId="2" xfId="0" applyFont="1" applyFill="1" applyBorder="1" applyAlignment="1" applyProtection="1">
      <alignment horizontal="center" vertical="center" wrapText="1"/>
      <protection locked="0"/>
    </xf>
    <xf numFmtId="0" fontId="88" fillId="12" borderId="2" xfId="0" applyFont="1" applyFill="1" applyBorder="1" applyAlignment="1" applyProtection="1">
      <alignment horizontal="center" vertical="center" wrapText="1"/>
      <protection locked="0"/>
    </xf>
    <xf numFmtId="0" fontId="57" fillId="12" borderId="2" xfId="0" applyFont="1" applyFill="1" applyBorder="1" applyAlignment="1" applyProtection="1">
      <alignment horizontal="left" vertical="center" wrapText="1"/>
      <protection locked="0"/>
    </xf>
    <xf numFmtId="0" fontId="57" fillId="12" borderId="2" xfId="0" applyFont="1" applyFill="1" applyBorder="1" applyAlignment="1" applyProtection="1">
      <alignment horizontal="center" vertical="center" wrapText="1"/>
      <protection locked="0"/>
    </xf>
    <xf numFmtId="0" fontId="30" fillId="12" borderId="2" xfId="0" applyFont="1" applyFill="1" applyBorder="1" applyAlignment="1" applyProtection="1">
      <alignment horizontal="center" vertical="center" wrapText="1"/>
      <protection locked="0"/>
    </xf>
    <xf numFmtId="0" fontId="52" fillId="12" borderId="2" xfId="0" applyFont="1" applyFill="1" applyBorder="1" applyAlignment="1" applyProtection="1">
      <alignment horizontal="center" vertical="center" wrapText="1"/>
      <protection locked="0"/>
    </xf>
    <xf numFmtId="0" fontId="52" fillId="12" borderId="2" xfId="0" applyFont="1" applyFill="1" applyBorder="1" applyAlignment="1" applyProtection="1">
      <alignment horizontal="left" vertical="center" wrapText="1"/>
      <protection locked="0"/>
    </xf>
    <xf numFmtId="0" fontId="65" fillId="12" borderId="2" xfId="0" applyFont="1" applyFill="1" applyBorder="1" applyAlignment="1" applyProtection="1">
      <alignment horizontal="left" vertical="center" wrapText="1"/>
      <protection locked="0"/>
    </xf>
    <xf numFmtId="0" fontId="65" fillId="12" borderId="2" xfId="0" applyFont="1" applyFill="1" applyBorder="1" applyAlignment="1" applyProtection="1">
      <alignment horizontal="center" vertical="center" wrapText="1"/>
      <protection locked="0"/>
    </xf>
    <xf numFmtId="0" fontId="58" fillId="12" borderId="2" xfId="0" applyFont="1" applyFill="1" applyBorder="1" applyAlignment="1" applyProtection="1">
      <alignment horizontal="center" vertical="center" wrapText="1"/>
      <protection locked="0"/>
    </xf>
    <xf numFmtId="0" fontId="32" fillId="12" borderId="10" xfId="0" applyFont="1" applyFill="1" applyBorder="1" applyAlignment="1" applyProtection="1">
      <alignment horizontal="left" vertical="center"/>
      <protection locked="0"/>
    </xf>
    <xf numFmtId="0" fontId="32" fillId="12" borderId="1" xfId="0" applyFont="1" applyFill="1" applyBorder="1" applyAlignment="1" applyProtection="1">
      <alignment horizontal="center" vertical="center"/>
      <protection locked="0"/>
    </xf>
    <xf numFmtId="0" fontId="28" fillId="12" borderId="1" xfId="0" applyFont="1" applyFill="1" applyBorder="1" applyAlignment="1" applyProtection="1">
      <alignment horizontal="center" vertical="center"/>
      <protection locked="0"/>
    </xf>
    <xf numFmtId="0" fontId="88" fillId="12" borderId="1" xfId="0" applyFont="1" applyFill="1" applyBorder="1" applyAlignment="1" applyProtection="1">
      <alignment horizontal="center" vertical="center"/>
      <protection locked="0"/>
    </xf>
    <xf numFmtId="0" fontId="57" fillId="12" borderId="1" xfId="0" applyFont="1" applyFill="1" applyBorder="1" applyAlignment="1" applyProtection="1">
      <alignment horizontal="left" vertical="center"/>
      <protection locked="0"/>
    </xf>
    <xf numFmtId="0" fontId="57" fillId="12" borderId="1" xfId="0" applyFont="1" applyFill="1" applyBorder="1" applyAlignment="1" applyProtection="1">
      <alignment horizontal="center" vertical="center"/>
      <protection locked="0"/>
    </xf>
    <xf numFmtId="0" fontId="30" fillId="12" borderId="1" xfId="0" applyFont="1" applyFill="1" applyBorder="1" applyAlignment="1" applyProtection="1">
      <alignment horizontal="center" vertical="center"/>
      <protection locked="0"/>
    </xf>
    <xf numFmtId="0" fontId="52" fillId="12" borderId="1" xfId="0" applyFont="1" applyFill="1" applyBorder="1" applyAlignment="1" applyProtection="1">
      <alignment horizontal="center" vertical="center"/>
      <protection locked="0"/>
    </xf>
    <xf numFmtId="0" fontId="52" fillId="12" borderId="1" xfId="0" applyFont="1" applyFill="1" applyBorder="1" applyAlignment="1" applyProtection="1">
      <alignment horizontal="left" vertical="center"/>
      <protection locked="0"/>
    </xf>
    <xf numFmtId="0" fontId="65" fillId="12" borderId="1" xfId="0" applyFont="1" applyFill="1" applyBorder="1" applyAlignment="1" applyProtection="1">
      <alignment horizontal="left" vertical="center"/>
      <protection locked="0"/>
    </xf>
    <xf numFmtId="0" fontId="65" fillId="12" borderId="1" xfId="0" applyFont="1" applyFill="1" applyBorder="1" applyAlignment="1" applyProtection="1">
      <alignment horizontal="center" vertical="center"/>
      <protection locked="0"/>
    </xf>
    <xf numFmtId="0" fontId="58" fillId="12" borderId="1" xfId="0" applyFont="1" applyFill="1" applyBorder="1" applyAlignment="1" applyProtection="1">
      <alignment horizontal="center" vertical="center"/>
      <protection locked="0"/>
    </xf>
    <xf numFmtId="0" fontId="66" fillId="0" borderId="39" xfId="0" applyFont="1" applyBorder="1" applyAlignment="1" applyProtection="1">
      <protection locked="0"/>
    </xf>
    <xf numFmtId="0" fontId="66" fillId="0" borderId="39" xfId="0" applyFont="1" applyBorder="1" applyAlignment="1" applyProtection="1">
      <alignment vertical="center"/>
      <protection locked="0"/>
    </xf>
    <xf numFmtId="0" fontId="11" fillId="2" borderId="21" xfId="0" applyFont="1" applyFill="1" applyBorder="1" applyProtection="1">
      <protection hidden="1"/>
    </xf>
    <xf numFmtId="0" fontId="0" fillId="7" borderId="0" xfId="0" applyFill="1" applyAlignment="1" applyProtection="1">
      <protection hidden="1"/>
    </xf>
    <xf numFmtId="16" fontId="54" fillId="4" borderId="15" xfId="0" applyNumberFormat="1" applyFont="1" applyFill="1" applyBorder="1" applyAlignment="1" applyProtection="1">
      <alignment horizontal="center" vertical="center" wrapText="1"/>
      <protection hidden="1"/>
    </xf>
    <xf numFmtId="16" fontId="53" fillId="4" borderId="15" xfId="0" applyNumberFormat="1" applyFont="1" applyFill="1" applyBorder="1" applyAlignment="1" applyProtection="1">
      <alignment horizontal="center" vertical="center" wrapText="1"/>
      <protection hidden="1"/>
    </xf>
    <xf numFmtId="16" fontId="55" fillId="4" borderId="15" xfId="0" applyNumberFormat="1" applyFont="1" applyFill="1" applyBorder="1" applyAlignment="1" applyProtection="1">
      <alignment horizontal="center" vertical="center" wrapText="1"/>
      <protection hidden="1"/>
    </xf>
    <xf numFmtId="16" fontId="56" fillId="4" borderId="15" xfId="0" applyNumberFormat="1" applyFont="1" applyFill="1" applyBorder="1" applyAlignment="1" applyProtection="1">
      <alignment horizontal="center" vertical="center" wrapText="1"/>
      <protection hidden="1"/>
    </xf>
    <xf numFmtId="0" fontId="9" fillId="6" borderId="2" xfId="0" applyFont="1" applyFill="1" applyBorder="1" applyAlignment="1" applyProtection="1">
      <alignment horizontal="center" vertical="center"/>
      <protection hidden="1"/>
    </xf>
    <xf numFmtId="0" fontId="9" fillId="6" borderId="2" xfId="0" applyFont="1" applyFill="1" applyBorder="1" applyAlignment="1" applyProtection="1">
      <alignment horizontal="left" vertical="center"/>
      <protection locked="0"/>
    </xf>
    <xf numFmtId="0" fontId="28" fillId="6" borderId="2" xfId="0" applyFont="1" applyFill="1" applyBorder="1" applyAlignment="1" applyProtection="1">
      <alignment horizontal="center" vertical="center"/>
      <protection locked="0"/>
    </xf>
    <xf numFmtId="0" fontId="52" fillId="6" borderId="2" xfId="0" applyFont="1" applyFill="1" applyBorder="1" applyAlignment="1" applyProtection="1">
      <alignment horizontal="center" vertical="center"/>
      <protection locked="0"/>
    </xf>
    <xf numFmtId="2" fontId="52" fillId="6" borderId="2" xfId="0" applyNumberFormat="1" applyFont="1" applyFill="1" applyBorder="1" applyAlignment="1" applyProtection="1">
      <alignment horizontal="center" vertical="center"/>
      <protection locked="0"/>
    </xf>
    <xf numFmtId="0" fontId="30" fillId="6" borderId="2" xfId="0" applyFont="1" applyFill="1" applyBorder="1" applyAlignment="1" applyProtection="1">
      <alignment horizontal="center" vertical="center"/>
      <protection locked="0"/>
    </xf>
    <xf numFmtId="0" fontId="57" fillId="6" borderId="2" xfId="0" applyFont="1" applyFill="1" applyBorder="1" applyAlignment="1" applyProtection="1">
      <alignment horizontal="center" vertical="center"/>
      <protection locked="0"/>
    </xf>
    <xf numFmtId="0" fontId="58" fillId="6" borderId="2" xfId="0" applyFont="1" applyFill="1" applyBorder="1" applyAlignment="1" applyProtection="1">
      <alignment horizontal="center" vertical="center"/>
      <protection locked="0"/>
    </xf>
    <xf numFmtId="0" fontId="59" fillId="6" borderId="2" xfId="0" applyFont="1" applyFill="1" applyBorder="1" applyAlignment="1" applyProtection="1">
      <alignment horizontal="center" vertical="center"/>
      <protection locked="0"/>
    </xf>
    <xf numFmtId="0" fontId="9" fillId="6" borderId="1" xfId="0" applyFont="1" applyFill="1" applyBorder="1" applyAlignment="1" applyProtection="1">
      <alignment horizontal="left" vertical="center"/>
      <protection locked="0"/>
    </xf>
    <xf numFmtId="0" fontId="28" fillId="6" borderId="1" xfId="0" applyFont="1" applyFill="1" applyBorder="1" applyAlignment="1" applyProtection="1">
      <alignment horizontal="center" vertical="center"/>
      <protection locked="0"/>
    </xf>
    <xf numFmtId="0" fontId="52" fillId="6" borderId="1" xfId="0" applyFont="1" applyFill="1" applyBorder="1" applyAlignment="1" applyProtection="1">
      <alignment horizontal="center" vertical="center"/>
      <protection locked="0"/>
    </xf>
    <xf numFmtId="2" fontId="52" fillId="6" borderId="1" xfId="0" applyNumberFormat="1" applyFont="1" applyFill="1" applyBorder="1" applyAlignment="1" applyProtection="1">
      <alignment horizontal="center" vertical="center"/>
      <protection locked="0"/>
    </xf>
    <xf numFmtId="0" fontId="30" fillId="6" borderId="1" xfId="0" applyFont="1" applyFill="1" applyBorder="1" applyAlignment="1" applyProtection="1">
      <alignment horizontal="center" vertical="center"/>
      <protection locked="0"/>
    </xf>
    <xf numFmtId="0" fontId="57" fillId="6" borderId="1" xfId="0" applyFont="1" applyFill="1" applyBorder="1" applyAlignment="1" applyProtection="1">
      <alignment horizontal="center" vertical="center"/>
      <protection locked="0"/>
    </xf>
    <xf numFmtId="0" fontId="58" fillId="6" borderId="1" xfId="0" applyFont="1" applyFill="1" applyBorder="1" applyAlignment="1" applyProtection="1">
      <alignment horizontal="center" vertical="center"/>
      <protection locked="0"/>
    </xf>
    <xf numFmtId="0" fontId="59" fillId="6" borderId="1" xfId="0" applyFont="1" applyFill="1" applyBorder="1" applyAlignment="1" applyProtection="1">
      <alignment horizontal="center" vertical="center"/>
      <protection locked="0"/>
    </xf>
    <xf numFmtId="0" fontId="6" fillId="0" borderId="1" xfId="0" applyFont="1" applyBorder="1"/>
    <xf numFmtId="0" fontId="0" fillId="0" borderId="1" xfId="0" applyBorder="1"/>
    <xf numFmtId="2" fontId="0" fillId="0" borderId="0" xfId="0" applyNumberFormat="1"/>
    <xf numFmtId="164" fontId="0" fillId="0" borderId="1" xfId="0" applyNumberFormat="1" applyBorder="1"/>
    <xf numFmtId="0" fontId="90" fillId="2" borderId="15" xfId="0" applyFont="1" applyFill="1" applyBorder="1" applyAlignment="1" applyProtection="1">
      <alignment horizontal="center" vertical="center"/>
      <protection hidden="1"/>
    </xf>
    <xf numFmtId="0" fontId="5" fillId="0" borderId="0" xfId="0" applyFont="1" applyAlignment="1">
      <alignment vertical="center"/>
    </xf>
    <xf numFmtId="0" fontId="6" fillId="0" borderId="0" xfId="0" applyFont="1" applyFill="1" applyBorder="1"/>
    <xf numFmtId="0" fontId="0" fillId="0" borderId="0" xfId="0" applyAlignment="1">
      <alignment horizontal="center" vertical="center"/>
    </xf>
    <xf numFmtId="0" fontId="0" fillId="0" borderId="0" xfId="0" applyAlignment="1">
      <alignment horizontal="center" vertical="center"/>
    </xf>
    <xf numFmtId="2" fontId="0" fillId="0" borderId="1" xfId="0" applyNumberFormat="1" applyBorder="1"/>
    <xf numFmtId="0" fontId="0" fillId="0" borderId="0" xfId="0" applyAlignment="1">
      <alignment vertical="center"/>
    </xf>
    <xf numFmtId="0" fontId="0" fillId="0" borderId="1" xfId="0" applyBorder="1" applyAlignment="1">
      <alignment vertical="center"/>
    </xf>
    <xf numFmtId="2" fontId="38" fillId="0" borderId="1" xfId="0" applyNumberFormat="1" applyFont="1" applyBorder="1" applyAlignment="1">
      <alignment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0" fillId="0" borderId="33" xfId="0" applyBorder="1" applyAlignment="1">
      <alignment vertical="center"/>
    </xf>
    <xf numFmtId="0" fontId="0" fillId="0" borderId="34" xfId="0" applyBorder="1" applyAlignment="1">
      <alignment vertical="center"/>
    </xf>
    <xf numFmtId="0" fontId="6" fillId="0" borderId="0" xfId="0" applyFont="1" applyBorder="1" applyAlignment="1">
      <alignment horizontal="center" vertical="center"/>
    </xf>
    <xf numFmtId="164" fontId="10" fillId="0" borderId="0" xfId="0" applyNumberFormat="1" applyFont="1" applyBorder="1" applyAlignment="1">
      <alignment vertical="center"/>
    </xf>
    <xf numFmtId="0" fontId="0" fillId="0" borderId="0" xfId="0" applyBorder="1" applyAlignment="1">
      <alignment vertical="center"/>
    </xf>
    <xf numFmtId="0" fontId="38" fillId="0" borderId="0" xfId="0" applyFont="1" applyAlignment="1">
      <alignment vertical="center"/>
    </xf>
    <xf numFmtId="0" fontId="153" fillId="0" borderId="0" xfId="0" applyFont="1" applyAlignment="1">
      <alignment vertical="center"/>
    </xf>
    <xf numFmtId="0" fontId="0" fillId="0" borderId="0" xfId="0" applyAlignment="1">
      <alignment horizontal="center" vertical="center"/>
    </xf>
    <xf numFmtId="0" fontId="72" fillId="2" borderId="19" xfId="0" applyFont="1" applyFill="1" applyBorder="1" applyAlignment="1" applyProtection="1">
      <alignment horizontal="left" vertical="center"/>
      <protection hidden="1"/>
    </xf>
    <xf numFmtId="0" fontId="193" fillId="2" borderId="15" xfId="0" applyFont="1" applyFill="1" applyBorder="1" applyAlignment="1" applyProtection="1">
      <alignment horizontal="center" vertical="center"/>
      <protection hidden="1"/>
    </xf>
    <xf numFmtId="0" fontId="193" fillId="2" borderId="19" xfId="0" applyFont="1" applyFill="1" applyBorder="1" applyAlignment="1" applyProtection="1">
      <alignment horizontal="left" vertical="center"/>
      <protection hidden="1"/>
    </xf>
    <xf numFmtId="49" fontId="0" fillId="0" borderId="0" xfId="0" applyNumberFormat="1"/>
    <xf numFmtId="0" fontId="41" fillId="0" borderId="33" xfId="0" applyFont="1" applyBorder="1" applyAlignment="1">
      <alignment horizontal="center" vertical="center"/>
    </xf>
    <xf numFmtId="2" fontId="194" fillId="0" borderId="37" xfId="0" applyNumberFormat="1" applyFont="1" applyBorder="1" applyAlignment="1">
      <alignment vertical="center"/>
    </xf>
    <xf numFmtId="2" fontId="9" fillId="0" borderId="1" xfId="0" applyNumberFormat="1" applyFont="1" applyBorder="1" applyAlignment="1">
      <alignment vertical="center"/>
    </xf>
    <xf numFmtId="0" fontId="77" fillId="0" borderId="1" xfId="0" applyFont="1" applyBorder="1" applyAlignment="1">
      <alignment vertical="center"/>
    </xf>
    <xf numFmtId="164" fontId="41" fillId="0" borderId="1" xfId="0" applyNumberFormat="1" applyFont="1" applyBorder="1" applyAlignment="1">
      <alignment vertical="center"/>
    </xf>
    <xf numFmtId="2" fontId="67" fillId="0" borderId="34" xfId="0" applyNumberFormat="1" applyFont="1" applyBorder="1" applyAlignment="1">
      <alignment vertical="center"/>
    </xf>
    <xf numFmtId="2" fontId="0" fillId="0" borderId="0" xfId="0" applyNumberFormat="1" applyAlignment="1">
      <alignment horizontal="center" vertical="center"/>
    </xf>
    <xf numFmtId="0" fontId="0" fillId="0" borderId="0" xfId="0" applyAlignment="1">
      <alignment horizontal="center" vertical="center"/>
    </xf>
    <xf numFmtId="0" fontId="41" fillId="0" borderId="1" xfId="0" applyFont="1" applyBorder="1" applyAlignment="1">
      <alignment vertical="center"/>
    </xf>
    <xf numFmtId="0" fontId="5" fillId="0" borderId="74" xfId="0" applyFont="1" applyBorder="1" applyAlignment="1">
      <alignment vertical="center"/>
    </xf>
    <xf numFmtId="164" fontId="5" fillId="0" borderId="36" xfId="0" applyNumberFormat="1" applyFont="1" applyBorder="1" applyAlignment="1">
      <alignment vertical="center"/>
    </xf>
    <xf numFmtId="0" fontId="8" fillId="2" borderId="15" xfId="0" applyFont="1" applyFill="1" applyBorder="1" applyAlignment="1" applyProtection="1">
      <alignment horizontal="center" vertical="center" wrapText="1"/>
      <protection hidden="1"/>
    </xf>
    <xf numFmtId="0" fontId="68" fillId="2" borderId="15" xfId="0" applyFont="1" applyFill="1" applyBorder="1" applyAlignment="1" applyProtection="1">
      <alignment horizontal="center" vertical="center" wrapText="1"/>
      <protection hidden="1"/>
    </xf>
    <xf numFmtId="0" fontId="90" fillId="2" borderId="15" xfId="0" applyFont="1" applyFill="1"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7" borderId="0" xfId="0" applyFill="1" applyAlignment="1" applyProtection="1">
      <alignment horizontal="center" vertical="center"/>
      <protection hidden="1"/>
    </xf>
    <xf numFmtId="0" fontId="0" fillId="2" borderId="0" xfId="0" applyFill="1" applyAlignment="1" applyProtection="1">
      <alignment horizontal="center" vertical="center"/>
      <protection hidden="1"/>
    </xf>
    <xf numFmtId="0" fontId="0" fillId="22" borderId="0" xfId="0" applyFill="1" applyProtection="1">
      <protection hidden="1"/>
    </xf>
    <xf numFmtId="0" fontId="5" fillId="7" borderId="0" xfId="0" applyFont="1" applyFill="1" applyProtection="1">
      <protection hidden="1"/>
    </xf>
    <xf numFmtId="0" fontId="5" fillId="0" borderId="0" xfId="0" applyFont="1" applyProtection="1">
      <protection hidden="1"/>
    </xf>
    <xf numFmtId="0" fontId="0" fillId="19" borderId="0" xfId="0" applyFill="1" applyProtection="1">
      <protection hidden="1"/>
    </xf>
    <xf numFmtId="0" fontId="41" fillId="0" borderId="1" xfId="0" applyFont="1" applyBorder="1" applyAlignment="1" applyProtection="1">
      <alignment horizontal="center" vertical="center"/>
      <protection hidden="1"/>
    </xf>
    <xf numFmtId="0" fontId="41" fillId="0" borderId="0" xfId="0" applyFont="1" applyProtection="1">
      <protection hidden="1"/>
    </xf>
    <xf numFmtId="165" fontId="41" fillId="0" borderId="0" xfId="0" applyNumberFormat="1" applyFont="1" applyProtection="1">
      <protection hidden="1"/>
    </xf>
    <xf numFmtId="0" fontId="41" fillId="0" borderId="1" xfId="0" applyFont="1" applyBorder="1" applyAlignment="1" applyProtection="1">
      <alignment horizontal="center" vertical="center"/>
      <protection locked="0"/>
    </xf>
    <xf numFmtId="0" fontId="0" fillId="25" borderId="0" xfId="0" applyFill="1" applyProtection="1">
      <protection hidden="1"/>
    </xf>
    <xf numFmtId="0" fontId="0" fillId="25" borderId="0" xfId="0" applyFill="1" applyAlignment="1" applyProtection="1">
      <protection hidden="1"/>
    </xf>
    <xf numFmtId="0" fontId="67" fillId="7" borderId="0" xfId="0" applyFont="1" applyFill="1" applyAlignment="1" applyProtection="1">
      <alignment vertical="center"/>
      <protection hidden="1"/>
    </xf>
    <xf numFmtId="0" fontId="200" fillId="7" borderId="0" xfId="0" applyFont="1" applyFill="1" applyAlignment="1" applyProtection="1">
      <alignment vertical="center"/>
      <protection hidden="1"/>
    </xf>
    <xf numFmtId="0" fontId="31" fillId="7" borderId="0" xfId="0" applyFont="1" applyFill="1" applyAlignment="1" applyProtection="1">
      <alignment horizontal="center" vertical="center"/>
      <protection hidden="1"/>
    </xf>
    <xf numFmtId="0" fontId="41" fillId="7" borderId="0" xfId="0" applyFont="1" applyFill="1" applyAlignment="1" applyProtection="1">
      <alignment vertical="center"/>
      <protection hidden="1"/>
    </xf>
    <xf numFmtId="0" fontId="31" fillId="25" borderId="0" xfId="0" applyFont="1" applyFill="1" applyAlignment="1" applyProtection="1">
      <alignment horizontal="center" vertical="center"/>
      <protection hidden="1"/>
    </xf>
    <xf numFmtId="0" fontId="183" fillId="2" borderId="70" xfId="0" applyFont="1" applyFill="1" applyBorder="1" applyAlignment="1" applyProtection="1">
      <alignment vertical="center"/>
      <protection hidden="1"/>
    </xf>
    <xf numFmtId="0" fontId="51" fillId="2" borderId="70" xfId="0" applyFont="1" applyFill="1" applyBorder="1" applyAlignment="1" applyProtection="1">
      <alignment vertical="center"/>
      <protection hidden="1"/>
    </xf>
    <xf numFmtId="0" fontId="51" fillId="2" borderId="71" xfId="0" applyFont="1" applyFill="1" applyBorder="1" applyAlignment="1" applyProtection="1">
      <alignment vertical="center"/>
      <protection hidden="1"/>
    </xf>
    <xf numFmtId="0" fontId="5" fillId="5" borderId="24" xfId="0" applyFont="1" applyFill="1" applyBorder="1" applyAlignment="1" applyProtection="1">
      <alignment vertical="center"/>
      <protection hidden="1"/>
    </xf>
    <xf numFmtId="165" fontId="29" fillId="17" borderId="1" xfId="0" applyNumberFormat="1" applyFont="1" applyFill="1" applyBorder="1" applyAlignment="1" applyProtection="1">
      <alignment horizontal="center" vertical="center"/>
      <protection locked="0"/>
    </xf>
    <xf numFmtId="165" fontId="29" fillId="17" borderId="36" xfId="0" applyNumberFormat="1" applyFont="1" applyFill="1" applyBorder="1" applyAlignment="1" applyProtection="1">
      <alignment horizontal="center" vertical="center"/>
      <protection locked="0"/>
    </xf>
    <xf numFmtId="165" fontId="27" fillId="13" borderId="1" xfId="0" applyNumberFormat="1" applyFont="1" applyFill="1" applyBorder="1" applyAlignment="1" applyProtection="1">
      <alignment horizontal="center" vertical="center"/>
      <protection locked="0"/>
    </xf>
    <xf numFmtId="165" fontId="27" fillId="13" borderId="36" xfId="0" applyNumberFormat="1" applyFont="1" applyFill="1" applyBorder="1" applyAlignment="1" applyProtection="1">
      <alignment horizontal="center" vertical="center"/>
      <protection locked="0"/>
    </xf>
    <xf numFmtId="165" fontId="41" fillId="7" borderId="0" xfId="0" applyNumberFormat="1" applyFont="1" applyFill="1" applyAlignment="1" applyProtection="1">
      <alignment horizontal="center" vertical="center"/>
      <protection hidden="1"/>
    </xf>
    <xf numFmtId="165" fontId="25" fillId="14" borderId="1" xfId="0" applyNumberFormat="1" applyFont="1" applyFill="1" applyBorder="1" applyAlignment="1" applyProtection="1">
      <alignment horizontal="center" vertical="center"/>
      <protection locked="0"/>
    </xf>
    <xf numFmtId="165" fontId="25" fillId="14" borderId="36" xfId="0" applyNumberFormat="1" applyFont="1" applyFill="1" applyBorder="1" applyAlignment="1" applyProtection="1">
      <alignment horizontal="center" vertical="center"/>
      <protection locked="0"/>
    </xf>
    <xf numFmtId="0" fontId="0" fillId="0" borderId="0" xfId="0" applyAlignment="1" applyProtection="1">
      <alignment horizontal="center" vertical="center"/>
      <protection hidden="1"/>
    </xf>
    <xf numFmtId="0" fontId="37" fillId="7" borderId="1" xfId="0" applyFont="1" applyFill="1" applyBorder="1" applyAlignment="1" applyProtection="1">
      <alignment horizontal="center" vertical="center"/>
      <protection hidden="1"/>
    </xf>
    <xf numFmtId="0" fontId="40" fillId="7" borderId="1" xfId="0" applyFont="1" applyFill="1" applyBorder="1" applyAlignment="1" applyProtection="1">
      <alignment horizontal="center" vertical="center"/>
      <protection hidden="1"/>
    </xf>
    <xf numFmtId="0" fontId="67" fillId="7" borderId="36" xfId="0" applyFont="1" applyFill="1" applyBorder="1" applyAlignment="1" applyProtection="1">
      <alignment horizontal="center" vertical="center" textRotation="90"/>
      <protection hidden="1"/>
    </xf>
    <xf numFmtId="0" fontId="61" fillId="2" borderId="15" xfId="0" applyFont="1" applyFill="1" applyBorder="1" applyAlignment="1" applyProtection="1">
      <alignment horizontal="center" vertical="center"/>
      <protection hidden="1"/>
    </xf>
    <xf numFmtId="0" fontId="188" fillId="2" borderId="15" xfId="0" applyFont="1" applyFill="1" applyBorder="1" applyAlignment="1" applyProtection="1">
      <alignment horizontal="center" vertical="center"/>
      <protection hidden="1"/>
    </xf>
    <xf numFmtId="1" fontId="122" fillId="2" borderId="15" xfId="0" applyNumberFormat="1" applyFont="1" applyFill="1" applyBorder="1" applyAlignment="1" applyProtection="1">
      <alignment horizontal="center" vertical="center"/>
      <protection hidden="1"/>
    </xf>
    <xf numFmtId="0" fontId="189" fillId="2" borderId="15" xfId="0" applyFont="1" applyFill="1" applyBorder="1" applyAlignment="1" applyProtection="1">
      <alignment horizontal="center" vertical="center"/>
      <protection hidden="1"/>
    </xf>
    <xf numFmtId="0" fontId="190" fillId="2" borderId="15" xfId="0" applyFont="1" applyFill="1" applyBorder="1" applyAlignment="1" applyProtection="1">
      <alignment horizontal="center" vertical="center"/>
      <protection hidden="1"/>
    </xf>
    <xf numFmtId="0" fontId="186" fillId="2" borderId="15" xfId="0" applyFont="1" applyFill="1" applyBorder="1" applyAlignment="1" applyProtection="1">
      <alignment horizontal="center" vertical="center"/>
      <protection hidden="1"/>
    </xf>
    <xf numFmtId="0" fontId="56" fillId="2" borderId="15" xfId="0" applyFont="1" applyFill="1" applyBorder="1" applyAlignment="1" applyProtection="1">
      <alignment horizontal="center" vertical="center"/>
      <protection hidden="1"/>
    </xf>
    <xf numFmtId="0" fontId="140" fillId="20" borderId="2" xfId="0" applyFont="1" applyFill="1" applyBorder="1" applyAlignment="1" applyProtection="1">
      <alignment horizontal="left" vertical="center"/>
      <protection locked="0"/>
    </xf>
    <xf numFmtId="0" fontId="140" fillId="20" borderId="2" xfId="0" applyFont="1" applyFill="1" applyBorder="1" applyAlignment="1" applyProtection="1">
      <alignment horizontal="center" vertical="center"/>
      <protection locked="0"/>
    </xf>
    <xf numFmtId="0" fontId="144" fillId="20" borderId="2" xfId="0" applyFont="1" applyFill="1" applyBorder="1" applyAlignment="1" applyProtection="1">
      <alignment horizontal="left" vertical="center"/>
      <protection locked="0"/>
    </xf>
    <xf numFmtId="0" fontId="144" fillId="20" borderId="1" xfId="0" applyFont="1" applyFill="1" applyBorder="1" applyAlignment="1" applyProtection="1">
      <alignment horizontal="center" vertical="center"/>
      <protection locked="0"/>
    </xf>
    <xf numFmtId="0" fontId="192" fillId="20" borderId="2" xfId="0" applyFont="1" applyFill="1" applyBorder="1" applyAlignment="1" applyProtection="1">
      <alignment horizontal="left" vertical="center"/>
      <protection locked="0"/>
    </xf>
    <xf numFmtId="0" fontId="192" fillId="20" borderId="1" xfId="0" applyFont="1" applyFill="1" applyBorder="1" applyAlignment="1" applyProtection="1">
      <alignment horizontal="center" vertical="center"/>
      <protection locked="0"/>
    </xf>
    <xf numFmtId="0" fontId="138" fillId="20" borderId="2" xfId="0" applyFont="1" applyFill="1" applyBorder="1" applyAlignment="1" applyProtection="1">
      <alignment horizontal="left" vertical="center"/>
      <protection locked="0"/>
    </xf>
    <xf numFmtId="0" fontId="138" fillId="20" borderId="1" xfId="0" applyFont="1" applyFill="1" applyBorder="1" applyAlignment="1" applyProtection="1">
      <alignment horizontal="center" vertical="center"/>
      <protection locked="0"/>
    </xf>
    <xf numFmtId="0" fontId="130" fillId="20" borderId="2" xfId="0" applyFont="1" applyFill="1" applyBorder="1" applyAlignment="1" applyProtection="1">
      <alignment horizontal="left" vertical="center"/>
      <protection locked="0"/>
    </xf>
    <xf numFmtId="0" fontId="130" fillId="20" borderId="1" xfId="0" applyFont="1" applyFill="1" applyBorder="1" applyAlignment="1" applyProtection="1">
      <alignment horizontal="center" vertical="center"/>
      <protection locked="0"/>
    </xf>
    <xf numFmtId="0" fontId="134" fillId="20" borderId="2" xfId="0" applyFont="1" applyFill="1" applyBorder="1" applyAlignment="1" applyProtection="1">
      <alignment horizontal="left" vertical="center"/>
      <protection locked="0"/>
    </xf>
    <xf numFmtId="0" fontId="134" fillId="20" borderId="1" xfId="0" applyFont="1" applyFill="1" applyBorder="1" applyAlignment="1" applyProtection="1">
      <alignment horizontal="center" vertical="center"/>
      <protection locked="0"/>
    </xf>
    <xf numFmtId="0" fontId="140" fillId="21" borderId="1" xfId="0" applyFont="1" applyFill="1" applyBorder="1" applyAlignment="1" applyProtection="1">
      <alignment horizontal="left" vertical="center"/>
      <protection locked="0"/>
    </xf>
    <xf numFmtId="0" fontId="140" fillId="21" borderId="1" xfId="0" applyFont="1" applyFill="1" applyBorder="1" applyAlignment="1" applyProtection="1">
      <alignment horizontal="center" vertical="center"/>
      <protection locked="0"/>
    </xf>
    <xf numFmtId="0" fontId="144" fillId="21" borderId="1" xfId="0" applyFont="1" applyFill="1" applyBorder="1" applyAlignment="1" applyProtection="1">
      <alignment horizontal="left" vertical="center"/>
      <protection locked="0"/>
    </xf>
    <xf numFmtId="0" fontId="144" fillId="21" borderId="1" xfId="0" applyFont="1" applyFill="1" applyBorder="1" applyAlignment="1" applyProtection="1">
      <alignment horizontal="center" vertical="center"/>
      <protection locked="0"/>
    </xf>
    <xf numFmtId="0" fontId="192" fillId="21" borderId="1" xfId="0" applyFont="1" applyFill="1" applyBorder="1" applyAlignment="1" applyProtection="1">
      <alignment horizontal="left" vertical="center"/>
      <protection locked="0"/>
    </xf>
    <xf numFmtId="0" fontId="192" fillId="21" borderId="1" xfId="0" applyFont="1" applyFill="1" applyBorder="1" applyAlignment="1" applyProtection="1">
      <alignment horizontal="center" vertical="center"/>
      <protection locked="0"/>
    </xf>
    <xf numFmtId="0" fontId="138" fillId="21" borderId="1" xfId="0" applyFont="1" applyFill="1" applyBorder="1" applyAlignment="1" applyProtection="1">
      <alignment horizontal="left" vertical="center"/>
      <protection locked="0"/>
    </xf>
    <xf numFmtId="0" fontId="138" fillId="21" borderId="1" xfId="0" applyFont="1" applyFill="1" applyBorder="1" applyAlignment="1" applyProtection="1">
      <alignment horizontal="center" vertical="center"/>
      <protection locked="0"/>
    </xf>
    <xf numFmtId="0" fontId="130" fillId="21" borderId="1" xfId="0" applyFont="1" applyFill="1" applyBorder="1" applyAlignment="1" applyProtection="1">
      <alignment horizontal="left" vertical="center"/>
      <protection locked="0"/>
    </xf>
    <xf numFmtId="0" fontId="130" fillId="21" borderId="1" xfId="0" applyFont="1" applyFill="1" applyBorder="1" applyAlignment="1" applyProtection="1">
      <alignment horizontal="center" vertical="center"/>
      <protection locked="0"/>
    </xf>
    <xf numFmtId="0" fontId="134" fillId="21" borderId="1" xfId="0" applyFont="1" applyFill="1" applyBorder="1" applyAlignment="1" applyProtection="1">
      <alignment horizontal="left" vertical="center"/>
      <protection locked="0"/>
    </xf>
    <xf numFmtId="0" fontId="134" fillId="21" borderId="1" xfId="0" applyFont="1" applyFill="1" applyBorder="1" applyAlignment="1" applyProtection="1">
      <alignment horizontal="center" vertical="center"/>
      <protection locked="0"/>
    </xf>
    <xf numFmtId="0" fontId="140" fillId="20" borderId="1" xfId="0" applyFont="1" applyFill="1" applyBorder="1" applyAlignment="1" applyProtection="1">
      <alignment horizontal="left" vertical="center"/>
      <protection locked="0"/>
    </xf>
    <xf numFmtId="0" fontId="140" fillId="20" borderId="1" xfId="0" applyFont="1" applyFill="1" applyBorder="1" applyAlignment="1" applyProtection="1">
      <alignment horizontal="center" vertical="center"/>
      <protection locked="0"/>
    </xf>
    <xf numFmtId="0" fontId="144" fillId="20" borderId="1" xfId="0" applyFont="1" applyFill="1" applyBorder="1" applyAlignment="1" applyProtection="1">
      <alignment horizontal="left" vertical="center"/>
      <protection locked="0"/>
    </xf>
    <xf numFmtId="0" fontId="192" fillId="20" borderId="1" xfId="0" applyFont="1" applyFill="1" applyBorder="1" applyAlignment="1" applyProtection="1">
      <alignment horizontal="left" vertical="center"/>
      <protection locked="0"/>
    </xf>
    <xf numFmtId="0" fontId="138" fillId="20" borderId="1" xfId="0" applyFont="1" applyFill="1" applyBorder="1" applyAlignment="1" applyProtection="1">
      <alignment horizontal="left" vertical="center"/>
      <protection locked="0"/>
    </xf>
    <xf numFmtId="0" fontId="130" fillId="20" borderId="1" xfId="0" applyFont="1" applyFill="1" applyBorder="1" applyAlignment="1" applyProtection="1">
      <alignment horizontal="left" vertical="center"/>
      <protection locked="0"/>
    </xf>
    <xf numFmtId="0" fontId="134" fillId="20" borderId="1" xfId="0"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hidden="1"/>
    </xf>
    <xf numFmtId="0" fontId="0" fillId="7" borderId="28" xfId="0" applyFill="1" applyBorder="1" applyProtection="1">
      <protection hidden="1"/>
    </xf>
    <xf numFmtId="0" fontId="0" fillId="7" borderId="29" xfId="0" applyFill="1" applyBorder="1" applyAlignment="1" applyProtection="1">
      <protection hidden="1"/>
    </xf>
    <xf numFmtId="0" fontId="39" fillId="7" borderId="40" xfId="0" applyFont="1" applyFill="1" applyBorder="1" applyAlignment="1" applyProtection="1">
      <alignment vertical="center"/>
      <protection hidden="1"/>
    </xf>
    <xf numFmtId="0" fontId="0" fillId="7" borderId="29" xfId="0" applyFill="1" applyBorder="1" applyProtection="1">
      <protection hidden="1"/>
    </xf>
    <xf numFmtId="2" fontId="0" fillId="0" borderId="0" xfId="0" applyNumberFormat="1" applyProtection="1">
      <protection hidden="1"/>
    </xf>
    <xf numFmtId="0" fontId="39" fillId="7" borderId="36" xfId="0" applyFont="1" applyFill="1" applyBorder="1" applyAlignment="1" applyProtection="1">
      <alignment horizontal="center" vertical="center" wrapText="1"/>
      <protection hidden="1"/>
    </xf>
    <xf numFmtId="0" fontId="41" fillId="7" borderId="24" xfId="0" applyFont="1" applyFill="1" applyBorder="1" applyAlignment="1" applyProtection="1">
      <alignment horizontal="center" vertical="center"/>
      <protection hidden="1"/>
    </xf>
    <xf numFmtId="0" fontId="41" fillId="7" borderId="2" xfId="0" applyFont="1" applyFill="1" applyBorder="1" applyAlignment="1" applyProtection="1">
      <alignment vertical="center"/>
      <protection hidden="1"/>
    </xf>
    <xf numFmtId="0" fontId="41" fillId="7" borderId="2" xfId="0" applyFont="1" applyFill="1" applyBorder="1" applyAlignment="1" applyProtection="1">
      <alignment horizontal="center" vertical="center" wrapText="1"/>
      <protection hidden="1"/>
    </xf>
    <xf numFmtId="2" fontId="67" fillId="7" borderId="2" xfId="0" applyNumberFormat="1" applyFont="1" applyFill="1" applyBorder="1" applyAlignment="1" applyProtection="1">
      <alignment vertical="center"/>
      <protection hidden="1"/>
    </xf>
    <xf numFmtId="0" fontId="41" fillId="7" borderId="25" xfId="0" applyFont="1" applyFill="1" applyBorder="1" applyAlignment="1" applyProtection="1">
      <alignment vertical="center"/>
      <protection hidden="1"/>
    </xf>
    <xf numFmtId="0" fontId="41" fillId="7" borderId="34" xfId="0" applyFont="1" applyFill="1" applyBorder="1" applyAlignment="1" applyProtection="1">
      <alignment vertical="center"/>
      <protection hidden="1"/>
    </xf>
    <xf numFmtId="0" fontId="41" fillId="7" borderId="2" xfId="0" applyFont="1" applyFill="1" applyBorder="1" applyAlignment="1" applyProtection="1">
      <alignment vertical="center" wrapText="1"/>
      <protection hidden="1"/>
    </xf>
    <xf numFmtId="0" fontId="41" fillId="7" borderId="37" xfId="0" applyFont="1" applyFill="1" applyBorder="1" applyAlignment="1" applyProtection="1">
      <alignment vertical="center"/>
      <protection hidden="1"/>
    </xf>
    <xf numFmtId="0" fontId="41" fillId="7" borderId="2" xfId="0" applyFont="1" applyFill="1" applyBorder="1" applyAlignment="1" applyProtection="1">
      <alignment horizontal="center" vertical="center"/>
      <protection locked="0"/>
    </xf>
    <xf numFmtId="49" fontId="41" fillId="7" borderId="2" xfId="0" applyNumberFormat="1" applyFont="1" applyFill="1" applyBorder="1" applyAlignment="1" applyProtection="1">
      <alignment horizontal="center" vertical="center"/>
      <protection locked="0"/>
    </xf>
    <xf numFmtId="0" fontId="41" fillId="7" borderId="1" xfId="0" applyFont="1" applyFill="1" applyBorder="1" applyAlignment="1" applyProtection="1">
      <alignment horizontal="center" vertical="center"/>
      <protection locked="0"/>
    </xf>
    <xf numFmtId="49" fontId="41" fillId="7" borderId="1" xfId="0" applyNumberFormat="1" applyFont="1" applyFill="1" applyBorder="1" applyAlignment="1" applyProtection="1">
      <alignment horizontal="center" vertical="center"/>
      <protection locked="0"/>
    </xf>
    <xf numFmtId="0" fontId="41" fillId="7" borderId="36" xfId="0" applyFont="1" applyFill="1" applyBorder="1" applyAlignment="1" applyProtection="1">
      <alignment horizontal="center" vertical="center"/>
      <protection locked="0"/>
    </xf>
    <xf numFmtId="49" fontId="41" fillId="7" borderId="36" xfId="0" applyNumberFormat="1" applyFont="1" applyFill="1" applyBorder="1" applyAlignment="1" applyProtection="1">
      <alignment horizontal="center" vertical="center"/>
      <protection locked="0"/>
    </xf>
    <xf numFmtId="164" fontId="86" fillId="10" borderId="7" xfId="0" applyNumberFormat="1" applyFont="1" applyFill="1" applyBorder="1" applyAlignment="1" applyProtection="1">
      <alignment horizontal="right" vertical="center"/>
      <protection hidden="1"/>
    </xf>
    <xf numFmtId="164" fontId="86" fillId="10" borderId="2" xfId="0" applyNumberFormat="1" applyFont="1" applyFill="1" applyBorder="1" applyAlignment="1" applyProtection="1">
      <alignment horizontal="right" vertical="center"/>
      <protection hidden="1"/>
    </xf>
    <xf numFmtId="164" fontId="86" fillId="10" borderId="2" xfId="0" applyNumberFormat="1" applyFont="1" applyFill="1" applyBorder="1" applyAlignment="1" applyProtection="1">
      <alignment horizontal="right" vertical="center" wrapText="1"/>
      <protection hidden="1"/>
    </xf>
    <xf numFmtId="164" fontId="74" fillId="10" borderId="2" xfId="0" applyNumberFormat="1" applyFont="1" applyFill="1" applyBorder="1" applyAlignment="1" applyProtection="1">
      <alignment horizontal="right" vertical="center"/>
      <protection hidden="1"/>
    </xf>
    <xf numFmtId="164" fontId="29" fillId="10" borderId="2" xfId="0" applyNumberFormat="1" applyFont="1" applyFill="1" applyBorder="1" applyAlignment="1" applyProtection="1">
      <alignment horizontal="right" vertical="center"/>
      <protection hidden="1"/>
    </xf>
    <xf numFmtId="164" fontId="27" fillId="10" borderId="2" xfId="0" applyNumberFormat="1" applyFont="1" applyFill="1" applyBorder="1" applyAlignment="1" applyProtection="1">
      <alignment horizontal="right" vertical="center"/>
      <protection hidden="1"/>
    </xf>
    <xf numFmtId="164" fontId="87" fillId="10" borderId="2" xfId="0" applyNumberFormat="1" applyFont="1" applyFill="1" applyBorder="1" applyAlignment="1" applyProtection="1">
      <alignment horizontal="right" vertical="center"/>
      <protection hidden="1"/>
    </xf>
    <xf numFmtId="0" fontId="4" fillId="7" borderId="1" xfId="0" applyFont="1" applyFill="1" applyBorder="1" applyAlignment="1" applyProtection="1">
      <alignment horizontal="center" vertical="center"/>
      <protection hidden="1"/>
    </xf>
    <xf numFmtId="0" fontId="3" fillId="7" borderId="1" xfId="0" applyFont="1" applyFill="1" applyBorder="1" applyAlignment="1" applyProtection="1">
      <alignment horizontal="center" vertical="center"/>
      <protection hidden="1"/>
    </xf>
    <xf numFmtId="0" fontId="36" fillId="7" borderId="0" xfId="0" applyFont="1" applyFill="1" applyBorder="1" applyAlignment="1" applyProtection="1">
      <alignment horizontal="center" vertical="center" wrapText="1"/>
      <protection hidden="1"/>
    </xf>
    <xf numFmtId="0" fontId="2" fillId="7" borderId="0" xfId="0" applyFont="1" applyFill="1" applyProtection="1">
      <protection hidden="1"/>
    </xf>
    <xf numFmtId="0" fontId="67" fillId="7" borderId="37" xfId="0" applyFont="1" applyFill="1" applyBorder="1" applyAlignment="1" applyProtection="1">
      <alignment horizontal="center" vertical="center" textRotation="90"/>
      <protection hidden="1"/>
    </xf>
    <xf numFmtId="164" fontId="10" fillId="7" borderId="36" xfId="0" applyNumberFormat="1" applyFont="1" applyFill="1" applyBorder="1" applyAlignment="1" applyProtection="1">
      <alignment horizontal="center" vertical="top" textRotation="90"/>
      <protection hidden="1"/>
    </xf>
    <xf numFmtId="164" fontId="9" fillId="7" borderId="36" xfId="0" applyNumberFormat="1" applyFont="1" applyFill="1" applyBorder="1" applyAlignment="1" applyProtection="1">
      <alignment horizontal="center" vertical="top" textRotation="90"/>
      <protection hidden="1"/>
    </xf>
    <xf numFmtId="164" fontId="9" fillId="7" borderId="37" xfId="0" applyNumberFormat="1" applyFont="1" applyFill="1" applyBorder="1" applyAlignment="1" applyProtection="1">
      <alignment horizontal="center" vertical="top" textRotation="90"/>
      <protection hidden="1"/>
    </xf>
    <xf numFmtId="0" fontId="204" fillId="27" borderId="0" xfId="0" applyFont="1" applyFill="1" applyAlignment="1" applyProtection="1">
      <alignment horizontal="center" vertical="center"/>
      <protection hidden="1"/>
    </xf>
    <xf numFmtId="0" fontId="87" fillId="17" borderId="80" xfId="0" applyFont="1" applyFill="1" applyBorder="1" applyAlignment="1" applyProtection="1">
      <alignment horizontal="center" vertical="center"/>
      <protection hidden="1"/>
    </xf>
    <xf numFmtId="0" fontId="87" fillId="17" borderId="81" xfId="0" applyFont="1" applyFill="1" applyBorder="1" applyAlignment="1" applyProtection="1">
      <alignment horizontal="center" vertical="center"/>
      <protection hidden="1"/>
    </xf>
    <xf numFmtId="0" fontId="87" fillId="17" borderId="82" xfId="0" applyFont="1" applyFill="1" applyBorder="1" applyAlignment="1" applyProtection="1">
      <alignment horizontal="center" vertical="center"/>
      <protection hidden="1"/>
    </xf>
    <xf numFmtId="0" fontId="27" fillId="13" borderId="84" xfId="0" applyFont="1" applyFill="1" applyBorder="1" applyAlignment="1" applyProtection="1">
      <alignment horizontal="center" vertical="center"/>
      <protection hidden="1"/>
    </xf>
    <xf numFmtId="0" fontId="27" fillId="13" borderId="85" xfId="0" applyFont="1" applyFill="1" applyBorder="1" applyAlignment="1" applyProtection="1">
      <alignment horizontal="center" vertical="center"/>
      <protection hidden="1"/>
    </xf>
    <xf numFmtId="0" fontId="27" fillId="13" borderId="86" xfId="0" applyFont="1" applyFill="1" applyBorder="1" applyAlignment="1" applyProtection="1">
      <alignment horizontal="center" vertical="center"/>
      <protection hidden="1"/>
    </xf>
    <xf numFmtId="0" fontId="29" fillId="13" borderId="87" xfId="0" applyFont="1" applyFill="1" applyBorder="1" applyAlignment="1" applyProtection="1">
      <alignment horizontal="center" vertical="center"/>
      <protection hidden="1"/>
    </xf>
    <xf numFmtId="0" fontId="29" fillId="13" borderId="88" xfId="0" applyFont="1" applyFill="1" applyBorder="1" applyAlignment="1" applyProtection="1">
      <alignment horizontal="center" vertical="center"/>
      <protection hidden="1"/>
    </xf>
    <xf numFmtId="0" fontId="29" fillId="13" borderId="89" xfId="0" applyFont="1" applyFill="1" applyBorder="1" applyAlignment="1" applyProtection="1">
      <alignment horizontal="center" vertical="center"/>
      <protection hidden="1"/>
    </xf>
    <xf numFmtId="0" fontId="201" fillId="6" borderId="84" xfId="0" applyFont="1" applyFill="1" applyBorder="1" applyAlignment="1" applyProtection="1">
      <alignment horizontal="center" vertical="center" wrapText="1"/>
      <protection hidden="1"/>
    </xf>
    <xf numFmtId="0" fontId="201" fillId="6" borderId="85" xfId="0" applyFont="1" applyFill="1" applyBorder="1" applyAlignment="1" applyProtection="1">
      <alignment horizontal="center" vertical="center" wrapText="1"/>
      <protection hidden="1"/>
    </xf>
    <xf numFmtId="0" fontId="201" fillId="6" borderId="86" xfId="0" applyFont="1" applyFill="1" applyBorder="1" applyAlignment="1" applyProtection="1">
      <alignment horizontal="center" vertical="center" wrapText="1"/>
      <protection hidden="1"/>
    </xf>
    <xf numFmtId="0" fontId="86" fillId="6" borderId="90" xfId="0" applyFont="1" applyFill="1" applyBorder="1" applyAlignment="1" applyProtection="1">
      <alignment horizontal="center" vertical="center" wrapText="1"/>
      <protection hidden="1"/>
    </xf>
    <xf numFmtId="0" fontId="86" fillId="6" borderId="83" xfId="0" applyFont="1" applyFill="1" applyBorder="1" applyAlignment="1" applyProtection="1">
      <alignment horizontal="center" vertical="center" wrapText="1"/>
      <protection hidden="1"/>
    </xf>
    <xf numFmtId="0" fontId="86" fillId="6" borderId="91" xfId="0" applyFont="1" applyFill="1" applyBorder="1" applyAlignment="1" applyProtection="1">
      <alignment horizontal="center" vertical="center" wrapText="1"/>
      <protection hidden="1"/>
    </xf>
    <xf numFmtId="0" fontId="74" fillId="6" borderId="87" xfId="0" applyFont="1" applyFill="1" applyBorder="1" applyAlignment="1" applyProtection="1">
      <alignment horizontal="center" vertical="center"/>
      <protection hidden="1"/>
    </xf>
    <xf numFmtId="0" fontId="74" fillId="6" borderId="88" xfId="0" applyFont="1" applyFill="1" applyBorder="1" applyAlignment="1" applyProtection="1">
      <alignment horizontal="center" vertical="center"/>
      <protection hidden="1"/>
    </xf>
    <xf numFmtId="0" fontId="74" fillId="6" borderId="89" xfId="0" applyFont="1" applyFill="1" applyBorder="1" applyAlignment="1" applyProtection="1">
      <alignment horizontal="center" vertical="center"/>
      <protection hidden="1"/>
    </xf>
    <xf numFmtId="0" fontId="203" fillId="26" borderId="0" xfId="0" applyFont="1" applyFill="1" applyAlignment="1" applyProtection="1">
      <alignment horizontal="center" vertical="center"/>
      <protection hidden="1"/>
    </xf>
    <xf numFmtId="0" fontId="31" fillId="24" borderId="77" xfId="0" applyFont="1" applyFill="1" applyBorder="1" applyAlignment="1" applyProtection="1">
      <alignment horizontal="center" vertical="center"/>
      <protection hidden="1"/>
    </xf>
    <xf numFmtId="0" fontId="31" fillId="24" borderId="78" xfId="0" applyFont="1" applyFill="1" applyBorder="1" applyAlignment="1" applyProtection="1">
      <alignment horizontal="center" vertical="center"/>
      <protection hidden="1"/>
    </xf>
    <xf numFmtId="0" fontId="31" fillId="24" borderId="79" xfId="0" applyFont="1" applyFill="1" applyBorder="1" applyAlignment="1" applyProtection="1">
      <alignment horizontal="center" vertical="center"/>
      <protection hidden="1"/>
    </xf>
    <xf numFmtId="0" fontId="200" fillId="18" borderId="0" xfId="0" applyFont="1" applyFill="1" applyAlignment="1" applyProtection="1">
      <alignment horizontal="center" vertical="center"/>
      <protection hidden="1"/>
    </xf>
    <xf numFmtId="0" fontId="89" fillId="2" borderId="0" xfId="0" applyFont="1" applyFill="1" applyAlignment="1" applyProtection="1">
      <alignment horizontal="center" vertical="center"/>
      <protection hidden="1"/>
    </xf>
    <xf numFmtId="0" fontId="202" fillId="4" borderId="0" xfId="0" applyFont="1" applyFill="1" applyAlignment="1" applyProtection="1">
      <alignment horizontal="center" vertical="center"/>
      <protection hidden="1"/>
    </xf>
    <xf numFmtId="0" fontId="199" fillId="2" borderId="0" xfId="0" applyFont="1" applyFill="1" applyAlignment="1" applyProtection="1">
      <alignment horizontal="center" vertical="center"/>
      <protection hidden="1"/>
    </xf>
    <xf numFmtId="0" fontId="205" fillId="8" borderId="0" xfId="0" applyFont="1" applyFill="1" applyAlignment="1" applyProtection="1">
      <alignment horizontal="center" vertical="center"/>
      <protection hidden="1"/>
    </xf>
    <xf numFmtId="0" fontId="100" fillId="29" borderId="93" xfId="0" applyFont="1" applyFill="1" applyBorder="1" applyAlignment="1" applyProtection="1">
      <alignment horizontal="center" vertical="center" wrapText="1"/>
      <protection hidden="1"/>
    </xf>
    <xf numFmtId="0" fontId="100" fillId="29" borderId="94" xfId="0" applyFont="1" applyFill="1" applyBorder="1" applyAlignment="1" applyProtection="1">
      <alignment horizontal="center" vertical="center" wrapText="1"/>
      <protection hidden="1"/>
    </xf>
    <xf numFmtId="0" fontId="100" fillId="29" borderId="95" xfId="0" applyFont="1" applyFill="1" applyBorder="1" applyAlignment="1" applyProtection="1">
      <alignment horizontal="center" vertical="center" wrapText="1"/>
      <protection hidden="1"/>
    </xf>
    <xf numFmtId="0" fontId="208" fillId="30" borderId="0" xfId="0" applyFont="1" applyFill="1" applyAlignment="1" applyProtection="1">
      <alignment horizontal="center" vertical="center"/>
      <protection hidden="1"/>
    </xf>
    <xf numFmtId="0" fontId="74" fillId="32" borderId="102" xfId="0" applyFont="1" applyFill="1" applyBorder="1" applyAlignment="1" applyProtection="1">
      <alignment horizontal="center" vertical="center"/>
      <protection hidden="1"/>
    </xf>
    <xf numFmtId="0" fontId="74" fillId="32" borderId="103" xfId="0" applyFont="1" applyFill="1" applyBorder="1" applyAlignment="1" applyProtection="1">
      <alignment horizontal="center" vertical="center"/>
      <protection hidden="1"/>
    </xf>
    <xf numFmtId="0" fontId="74" fillId="32" borderId="104" xfId="0" applyFont="1" applyFill="1" applyBorder="1" applyAlignment="1" applyProtection="1">
      <alignment horizontal="center" vertical="center"/>
      <protection hidden="1"/>
    </xf>
    <xf numFmtId="0" fontId="209" fillId="3" borderId="0" xfId="0" applyFont="1" applyFill="1" applyAlignment="1" applyProtection="1">
      <alignment horizontal="center" vertical="center"/>
      <protection hidden="1"/>
    </xf>
    <xf numFmtId="0" fontId="29" fillId="29" borderId="96" xfId="0" applyFont="1" applyFill="1" applyBorder="1" applyAlignment="1" applyProtection="1">
      <alignment horizontal="center" vertical="center"/>
      <protection hidden="1"/>
    </xf>
    <xf numFmtId="0" fontId="29" fillId="29" borderId="92" xfId="0" applyFont="1" applyFill="1" applyBorder="1" applyAlignment="1" applyProtection="1">
      <alignment horizontal="center" vertical="center"/>
      <protection hidden="1"/>
    </xf>
    <xf numFmtId="0" fontId="29" fillId="29" borderId="97" xfId="0" applyFont="1" applyFill="1" applyBorder="1" applyAlignment="1" applyProtection="1">
      <alignment horizontal="center" vertical="center"/>
      <protection hidden="1"/>
    </xf>
    <xf numFmtId="0" fontId="211" fillId="29" borderId="98" xfId="0" applyFont="1" applyFill="1" applyBorder="1" applyAlignment="1" applyProtection="1">
      <alignment horizontal="center" vertical="center" wrapText="1"/>
      <protection hidden="1"/>
    </xf>
    <xf numFmtId="0" fontId="211" fillId="29" borderId="99" xfId="0" applyFont="1" applyFill="1" applyBorder="1" applyAlignment="1" applyProtection="1">
      <alignment horizontal="center" vertical="center" wrapText="1"/>
      <protection hidden="1"/>
    </xf>
    <xf numFmtId="0" fontId="211" fillId="29" borderId="100" xfId="0" applyFont="1" applyFill="1" applyBorder="1" applyAlignment="1" applyProtection="1">
      <alignment horizontal="center" vertical="center" wrapText="1"/>
      <protection hidden="1"/>
    </xf>
    <xf numFmtId="0" fontId="25" fillId="32" borderId="105" xfId="0" applyFont="1" applyFill="1" applyBorder="1" applyAlignment="1" applyProtection="1">
      <alignment horizontal="center" vertical="center"/>
      <protection hidden="1"/>
    </xf>
    <xf numFmtId="0" fontId="25" fillId="32" borderId="101" xfId="0" applyFont="1" applyFill="1" applyBorder="1" applyAlignment="1" applyProtection="1">
      <alignment horizontal="center" vertical="center"/>
      <protection hidden="1"/>
    </xf>
    <xf numFmtId="0" fontId="25" fillId="32" borderId="106" xfId="0" applyFont="1" applyFill="1" applyBorder="1" applyAlignment="1" applyProtection="1">
      <alignment horizontal="center" vertical="center"/>
      <protection hidden="1"/>
    </xf>
    <xf numFmtId="0" fontId="31" fillId="32" borderId="107" xfId="0" applyFont="1" applyFill="1" applyBorder="1" applyAlignment="1" applyProtection="1">
      <alignment horizontal="center" vertical="center"/>
      <protection hidden="1"/>
    </xf>
    <xf numFmtId="0" fontId="31" fillId="32" borderId="108" xfId="0" applyFont="1" applyFill="1" applyBorder="1" applyAlignment="1" applyProtection="1">
      <alignment horizontal="center" vertical="center"/>
      <protection hidden="1"/>
    </xf>
    <xf numFmtId="0" fontId="31" fillId="32" borderId="109" xfId="0" applyFont="1" applyFill="1" applyBorder="1" applyAlignment="1" applyProtection="1">
      <alignment horizontal="center" vertical="center"/>
      <protection hidden="1"/>
    </xf>
    <xf numFmtId="0" fontId="27" fillId="33" borderId="80" xfId="0" applyFont="1" applyFill="1" applyBorder="1" applyAlignment="1" applyProtection="1">
      <alignment horizontal="center" vertical="center"/>
      <protection hidden="1"/>
    </xf>
    <xf numFmtId="0" fontId="27" fillId="33" borderId="81" xfId="0" applyFont="1" applyFill="1" applyBorder="1" applyAlignment="1" applyProtection="1">
      <alignment horizontal="center" vertical="center"/>
      <protection hidden="1"/>
    </xf>
    <xf numFmtId="0" fontId="27" fillId="33" borderId="82" xfId="0" applyFont="1" applyFill="1" applyBorder="1" applyAlignment="1" applyProtection="1">
      <alignment horizontal="center" vertical="center"/>
      <protection hidden="1"/>
    </xf>
    <xf numFmtId="0" fontId="206" fillId="26" borderId="0" xfId="0" applyFont="1" applyFill="1" applyAlignment="1" applyProtection="1">
      <alignment horizontal="center" vertical="center"/>
      <protection hidden="1"/>
    </xf>
    <xf numFmtId="0" fontId="201" fillId="6" borderId="110" xfId="0" applyFont="1" applyFill="1" applyBorder="1" applyAlignment="1" applyProtection="1">
      <alignment horizontal="center" vertical="center" wrapText="1"/>
      <protection hidden="1"/>
    </xf>
    <xf numFmtId="0" fontId="201" fillId="6" borderId="111" xfId="0" applyFont="1" applyFill="1" applyBorder="1" applyAlignment="1" applyProtection="1">
      <alignment horizontal="center" vertical="center" wrapText="1"/>
      <protection hidden="1"/>
    </xf>
    <xf numFmtId="0" fontId="201" fillId="6" borderId="112" xfId="0" applyFont="1" applyFill="1" applyBorder="1" applyAlignment="1" applyProtection="1">
      <alignment horizontal="center" vertical="center" wrapText="1"/>
      <protection hidden="1"/>
    </xf>
    <xf numFmtId="0" fontId="207" fillId="28" borderId="0" xfId="0" applyFont="1" applyFill="1" applyAlignment="1" applyProtection="1">
      <alignment horizontal="center" vertical="center"/>
      <protection hidden="1"/>
    </xf>
    <xf numFmtId="0" fontId="74" fillId="24" borderId="113" xfId="0" applyFont="1" applyFill="1" applyBorder="1" applyAlignment="1" applyProtection="1">
      <alignment horizontal="center" vertical="center"/>
      <protection hidden="1"/>
    </xf>
    <xf numFmtId="0" fontId="74" fillId="24" borderId="114" xfId="0" applyFont="1" applyFill="1" applyBorder="1" applyAlignment="1" applyProtection="1">
      <alignment horizontal="center" vertical="center"/>
      <protection hidden="1"/>
    </xf>
    <xf numFmtId="0" fontId="74" fillId="24" borderId="115" xfId="0" applyFont="1" applyFill="1" applyBorder="1" applyAlignment="1" applyProtection="1">
      <alignment horizontal="center" vertical="center"/>
      <protection hidden="1"/>
    </xf>
    <xf numFmtId="0" fontId="210" fillId="34" borderId="0" xfId="0" applyFont="1" applyFill="1" applyAlignment="1" applyProtection="1">
      <alignment horizontal="center" vertical="center"/>
      <protection hidden="1"/>
    </xf>
    <xf numFmtId="0" fontId="86" fillId="31" borderId="116" xfId="0" applyFont="1" applyFill="1" applyBorder="1" applyAlignment="1" applyProtection="1">
      <alignment horizontal="center" vertical="center"/>
      <protection hidden="1"/>
    </xf>
    <xf numFmtId="0" fontId="86" fillId="31" borderId="117" xfId="0" applyFont="1" applyFill="1" applyBorder="1" applyAlignment="1" applyProtection="1">
      <alignment horizontal="center" vertical="center"/>
      <protection hidden="1"/>
    </xf>
    <xf numFmtId="0" fontId="86" fillId="31" borderId="118" xfId="0" applyFont="1" applyFill="1" applyBorder="1" applyAlignment="1" applyProtection="1">
      <alignment horizontal="center" vertical="center"/>
      <protection hidden="1"/>
    </xf>
    <xf numFmtId="0" fontId="100" fillId="14" borderId="77" xfId="0" applyFont="1" applyFill="1" applyBorder="1" applyAlignment="1" applyProtection="1">
      <alignment horizontal="center" vertical="center"/>
      <protection hidden="1"/>
    </xf>
    <xf numFmtId="0" fontId="100" fillId="14" borderId="78" xfId="0" applyFont="1" applyFill="1" applyBorder="1" applyAlignment="1" applyProtection="1">
      <alignment horizontal="center" vertical="center"/>
      <protection hidden="1"/>
    </xf>
    <xf numFmtId="0" fontId="100" fillId="14" borderId="79" xfId="0" applyFont="1" applyFill="1" applyBorder="1" applyAlignment="1" applyProtection="1">
      <alignment horizontal="center" vertical="center"/>
      <protection hidden="1"/>
    </xf>
    <xf numFmtId="0" fontId="203" fillId="16" borderId="0" xfId="0" applyFont="1" applyFill="1" applyAlignment="1" applyProtection="1">
      <alignment horizontal="center" vertical="center"/>
      <protection hidden="1"/>
    </xf>
    <xf numFmtId="0" fontId="31" fillId="35" borderId="110" xfId="0" applyFont="1" applyFill="1" applyBorder="1" applyAlignment="1" applyProtection="1">
      <alignment horizontal="center" vertical="center"/>
      <protection hidden="1"/>
    </xf>
    <xf numFmtId="0" fontId="31" fillId="35" borderId="111" xfId="0" applyFont="1" applyFill="1" applyBorder="1" applyAlignment="1" applyProtection="1">
      <alignment horizontal="center" vertical="center"/>
      <protection hidden="1"/>
    </xf>
    <xf numFmtId="0" fontId="31" fillId="35" borderId="112" xfId="0" applyFont="1" applyFill="1" applyBorder="1" applyAlignment="1" applyProtection="1">
      <alignment horizontal="center" vertical="center"/>
      <protection hidden="1"/>
    </xf>
    <xf numFmtId="0" fontId="29" fillId="17" borderId="80" xfId="0" applyFont="1" applyFill="1" applyBorder="1" applyAlignment="1" applyProtection="1">
      <alignment horizontal="center" vertical="center"/>
      <protection hidden="1"/>
    </xf>
    <xf numFmtId="0" fontId="29" fillId="17" borderId="81" xfId="0" applyFont="1" applyFill="1" applyBorder="1" applyAlignment="1" applyProtection="1">
      <alignment horizontal="center" vertical="center"/>
      <protection hidden="1"/>
    </xf>
    <xf numFmtId="0" fontId="29" fillId="17" borderId="82" xfId="0" applyFont="1" applyFill="1" applyBorder="1" applyAlignment="1" applyProtection="1">
      <alignment horizontal="center" vertical="center"/>
      <protection hidden="1"/>
    </xf>
    <xf numFmtId="0" fontId="205" fillId="36" borderId="0" xfId="0" applyFont="1" applyFill="1" applyAlignment="1" applyProtection="1">
      <alignment horizontal="center" vertical="center"/>
      <protection hidden="1"/>
    </xf>
    <xf numFmtId="0" fontId="27" fillId="29" borderId="75" xfId="0" applyFont="1" applyFill="1" applyBorder="1" applyAlignment="1" applyProtection="1">
      <alignment horizontal="center" vertical="center"/>
      <protection hidden="1"/>
    </xf>
    <xf numFmtId="0" fontId="27" fillId="29" borderId="60" xfId="0" applyFont="1" applyFill="1" applyBorder="1" applyAlignment="1" applyProtection="1">
      <alignment horizontal="center" vertical="center"/>
      <protection hidden="1"/>
    </xf>
    <xf numFmtId="0" fontId="27" fillId="29" borderId="76" xfId="0" applyFont="1" applyFill="1" applyBorder="1" applyAlignment="1" applyProtection="1">
      <alignment horizontal="center" vertical="center"/>
      <protection hidden="1"/>
    </xf>
    <xf numFmtId="0" fontId="53" fillId="4" borderId="15" xfId="0" applyFont="1" applyFill="1" applyBorder="1" applyAlignment="1" applyProtection="1">
      <alignment horizontal="center" vertical="center" wrapText="1"/>
      <protection hidden="1"/>
    </xf>
    <xf numFmtId="0" fontId="11" fillId="4" borderId="15" xfId="0" applyFont="1" applyFill="1" applyBorder="1" applyAlignment="1" applyProtection="1">
      <alignment horizontal="center" vertical="center" wrapText="1"/>
      <protection hidden="1"/>
    </xf>
    <xf numFmtId="0" fontId="13" fillId="2" borderId="22" xfId="0" applyFont="1" applyFill="1" applyBorder="1" applyAlignment="1" applyProtection="1">
      <alignment horizontal="center"/>
      <protection hidden="1"/>
    </xf>
    <xf numFmtId="0" fontId="13" fillId="2" borderId="23" xfId="0" applyFont="1" applyFill="1" applyBorder="1" applyAlignment="1" applyProtection="1">
      <alignment horizontal="center"/>
      <protection hidden="1"/>
    </xf>
    <xf numFmtId="0" fontId="60" fillId="4" borderId="15" xfId="0" applyFont="1" applyFill="1" applyBorder="1" applyAlignment="1" applyProtection="1">
      <alignment horizontal="center" vertical="center" wrapText="1"/>
      <protection hidden="1"/>
    </xf>
    <xf numFmtId="0" fontId="18" fillId="4" borderId="15" xfId="0" applyFont="1" applyFill="1" applyBorder="1" applyAlignment="1" applyProtection="1">
      <alignment horizontal="center" vertical="center" wrapText="1"/>
      <protection hidden="1"/>
    </xf>
    <xf numFmtId="16" fontId="18" fillId="4" borderId="15" xfId="0" applyNumberFormat="1" applyFont="1" applyFill="1" applyBorder="1" applyAlignment="1" applyProtection="1">
      <alignment horizontal="center" vertical="center" wrapText="1"/>
      <protection hidden="1"/>
    </xf>
    <xf numFmtId="0" fontId="212" fillId="4" borderId="15" xfId="0" applyFont="1" applyFill="1" applyBorder="1" applyAlignment="1" applyProtection="1">
      <alignment horizontal="center" vertical="center" wrapText="1"/>
      <protection hidden="1"/>
    </xf>
    <xf numFmtId="0" fontId="213" fillId="4" borderId="15" xfId="0" applyFont="1" applyFill="1" applyBorder="1" applyAlignment="1" applyProtection="1">
      <alignment horizontal="center" vertical="center" wrapText="1"/>
      <protection hidden="1"/>
    </xf>
    <xf numFmtId="0" fontId="17" fillId="2" borderId="22" xfId="0" applyFont="1" applyFill="1" applyBorder="1" applyAlignment="1" applyProtection="1">
      <alignment horizontal="center"/>
      <protection hidden="1"/>
    </xf>
    <xf numFmtId="0" fontId="45" fillId="2" borderId="22" xfId="0" applyFont="1" applyFill="1" applyBorder="1" applyAlignment="1" applyProtection="1">
      <alignment horizontal="center"/>
      <protection hidden="1"/>
    </xf>
    <xf numFmtId="0" fontId="48" fillId="2" borderId="22" xfId="0" applyFont="1" applyFill="1" applyBorder="1" applyAlignment="1" applyProtection="1">
      <alignment horizontal="center"/>
      <protection hidden="1"/>
    </xf>
    <xf numFmtId="0" fontId="44" fillId="2" borderId="22" xfId="0" applyFont="1" applyFill="1" applyBorder="1" applyAlignment="1" applyProtection="1">
      <alignment horizontal="center"/>
      <protection hidden="1"/>
    </xf>
    <xf numFmtId="0" fontId="12" fillId="2" borderId="22" xfId="0" applyFont="1" applyFill="1" applyBorder="1" applyAlignment="1" applyProtection="1">
      <alignment horizontal="center"/>
      <protection hidden="1"/>
    </xf>
    <xf numFmtId="0" fontId="43" fillId="5" borderId="2"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1" fillId="2" borderId="69" xfId="0" applyFont="1" applyFill="1" applyBorder="1" applyAlignment="1" applyProtection="1">
      <alignment horizontal="right" vertical="center"/>
      <protection hidden="1"/>
    </xf>
    <xf numFmtId="0" fontId="51" fillId="2" borderId="70" xfId="0" applyFont="1" applyFill="1" applyBorder="1" applyAlignment="1" applyProtection="1">
      <alignment horizontal="right" vertical="center"/>
      <protection hidden="1"/>
    </xf>
    <xf numFmtId="0" fontId="50" fillId="5" borderId="2" xfId="0" applyFont="1" applyFill="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2" fillId="5" borderId="2" xfId="0" applyFont="1" applyFill="1" applyBorder="1" applyAlignment="1" applyProtection="1">
      <alignment horizontal="center" vertical="center" wrapText="1"/>
      <protection locked="0"/>
    </xf>
    <xf numFmtId="0" fontId="49" fillId="5" borderId="2" xfId="0" applyFont="1" applyFill="1" applyBorder="1" applyAlignment="1" applyProtection="1">
      <alignment horizontal="center" vertical="center" wrapText="1"/>
      <protection locked="0"/>
    </xf>
    <xf numFmtId="0" fontId="49" fillId="5" borderId="25" xfId="0" applyFont="1" applyFill="1" applyBorder="1" applyAlignment="1" applyProtection="1">
      <alignment horizontal="center" vertical="center" wrapText="1"/>
      <protection locked="0"/>
    </xf>
    <xf numFmtId="0" fontId="61" fillId="4" borderId="15" xfId="0" applyFont="1" applyFill="1" applyBorder="1" applyAlignment="1" applyProtection="1">
      <alignment horizontal="center" vertical="center" wrapText="1"/>
      <protection hidden="1"/>
    </xf>
    <xf numFmtId="0" fontId="66" fillId="0" borderId="39" xfId="0" applyFont="1" applyBorder="1" applyAlignment="1" applyProtection="1">
      <alignment horizontal="left" vertical="center"/>
      <protection locked="0"/>
    </xf>
    <xf numFmtId="0" fontId="66" fillId="0" borderId="39" xfId="0" applyFont="1" applyBorder="1" applyAlignment="1" applyProtection="1">
      <alignment horizontal="right" vertical="center"/>
      <protection hidden="1"/>
    </xf>
    <xf numFmtId="0" fontId="66" fillId="0" borderId="39" xfId="0" applyFont="1" applyBorder="1" applyAlignment="1" applyProtection="1">
      <alignment horizontal="left"/>
      <protection locked="0"/>
    </xf>
    <xf numFmtId="49" fontId="66" fillId="0" borderId="39" xfId="0" applyNumberFormat="1" applyFont="1" applyBorder="1" applyAlignment="1" applyProtection="1">
      <alignment horizontal="left" vertical="center"/>
      <protection locked="0"/>
    </xf>
    <xf numFmtId="0" fontId="8" fillId="2" borderId="15" xfId="0" applyFont="1" applyFill="1" applyBorder="1" applyAlignment="1" applyProtection="1">
      <alignment horizontal="center" vertical="center" wrapText="1"/>
      <protection hidden="1"/>
    </xf>
    <xf numFmtId="0" fontId="68" fillId="2" borderId="15" xfId="0" applyFont="1" applyFill="1" applyBorder="1" applyAlignment="1" applyProtection="1">
      <alignment horizontal="center" vertical="center" wrapText="1"/>
      <protection hidden="1"/>
    </xf>
    <xf numFmtId="0" fontId="75" fillId="2" borderId="15" xfId="0" applyFont="1" applyFill="1" applyBorder="1" applyAlignment="1" applyProtection="1">
      <alignment horizontal="center" vertical="center" wrapText="1"/>
      <protection hidden="1"/>
    </xf>
    <xf numFmtId="0" fontId="76" fillId="2" borderId="15" xfId="0" applyFont="1" applyFill="1" applyBorder="1" applyAlignment="1" applyProtection="1">
      <alignment horizontal="center" vertical="center" wrapText="1"/>
      <protection hidden="1"/>
    </xf>
    <xf numFmtId="0" fontId="44" fillId="2" borderId="15" xfId="0" applyFont="1" applyFill="1" applyBorder="1" applyAlignment="1" applyProtection="1">
      <alignment horizontal="center" vertical="center" wrapText="1"/>
      <protection hidden="1"/>
    </xf>
    <xf numFmtId="0" fontId="48" fillId="2" borderId="15" xfId="0" applyFont="1" applyFill="1" applyBorder="1" applyAlignment="1" applyProtection="1">
      <alignment horizontal="center" vertical="center" wrapText="1"/>
      <protection hidden="1"/>
    </xf>
    <xf numFmtId="0" fontId="17" fillId="2" borderId="15" xfId="0" applyFont="1" applyFill="1" applyBorder="1" applyAlignment="1" applyProtection="1">
      <alignment horizontal="center" vertical="center" wrapText="1"/>
      <protection hidden="1"/>
    </xf>
    <xf numFmtId="0" fontId="101" fillId="2" borderId="15" xfId="0" applyFont="1" applyFill="1" applyBorder="1" applyAlignment="1" applyProtection="1">
      <alignment horizontal="center" vertical="center" wrapText="1"/>
      <protection hidden="1"/>
    </xf>
    <xf numFmtId="0" fontId="70" fillId="2" borderId="15" xfId="0" applyFont="1" applyFill="1" applyBorder="1" applyAlignment="1" applyProtection="1">
      <alignment horizontal="center" vertical="center" wrapText="1"/>
      <protection hidden="1"/>
    </xf>
    <xf numFmtId="0" fontId="11" fillId="2" borderId="15" xfId="0" applyFont="1" applyFill="1" applyBorder="1" applyAlignment="1" applyProtection="1">
      <alignment horizontal="center" vertical="center" wrapText="1"/>
      <protection hidden="1"/>
    </xf>
    <xf numFmtId="0" fontId="12" fillId="2" borderId="18" xfId="0" applyFont="1" applyFill="1" applyBorder="1" applyAlignment="1" applyProtection="1">
      <alignment horizontal="center" vertical="center" wrapText="1"/>
      <protection hidden="1"/>
    </xf>
    <xf numFmtId="0" fontId="12" fillId="2" borderId="27" xfId="0" applyFont="1" applyFill="1" applyBorder="1" applyAlignment="1" applyProtection="1">
      <alignment horizontal="center" vertical="center" wrapText="1"/>
      <protection hidden="1"/>
    </xf>
    <xf numFmtId="0" fontId="13" fillId="2" borderId="18" xfId="0" applyFont="1" applyFill="1" applyBorder="1" applyAlignment="1" applyProtection="1">
      <alignment horizontal="center" vertical="center" wrapText="1"/>
      <protection hidden="1"/>
    </xf>
    <xf numFmtId="0" fontId="13" fillId="2" borderId="27" xfId="0" applyFont="1" applyFill="1" applyBorder="1" applyAlignment="1" applyProtection="1">
      <alignment horizontal="center" vertical="center" wrapText="1"/>
      <protection hidden="1"/>
    </xf>
    <xf numFmtId="0" fontId="67" fillId="23" borderId="16" xfId="0" applyFont="1" applyFill="1" applyBorder="1" applyAlignment="1" applyProtection="1">
      <alignment horizontal="center" vertical="center" wrapText="1"/>
      <protection hidden="1"/>
    </xf>
    <xf numFmtId="0" fontId="67" fillId="23" borderId="2" xfId="0" applyFont="1" applyFill="1" applyBorder="1" applyAlignment="1" applyProtection="1">
      <alignment horizontal="center" vertical="center" wrapText="1"/>
      <protection hidden="1"/>
    </xf>
    <xf numFmtId="0" fontId="67" fillId="23" borderId="1" xfId="0" applyFont="1" applyFill="1" applyBorder="1" applyAlignment="1" applyProtection="1">
      <alignment horizontal="center" vertical="center" wrapText="1"/>
      <protection hidden="1"/>
    </xf>
    <xf numFmtId="0" fontId="67" fillId="23" borderId="4" xfId="0" applyFont="1" applyFill="1" applyBorder="1" applyAlignment="1" applyProtection="1">
      <alignment horizontal="center" vertical="center" wrapText="1"/>
      <protection hidden="1"/>
    </xf>
    <xf numFmtId="0" fontId="67" fillId="23" borderId="11" xfId="0" applyFont="1" applyFill="1" applyBorder="1" applyAlignment="1" applyProtection="1">
      <alignment horizontal="center" vertical="center" wrapText="1"/>
      <protection hidden="1"/>
    </xf>
    <xf numFmtId="0" fontId="67" fillId="23" borderId="5" xfId="0" applyFont="1" applyFill="1" applyBorder="1" applyAlignment="1" applyProtection="1">
      <alignment horizontal="center" vertical="center" wrapText="1"/>
      <protection hidden="1"/>
    </xf>
    <xf numFmtId="0" fontId="67" fillId="23" borderId="6" xfId="0" applyFont="1" applyFill="1" applyBorder="1" applyAlignment="1" applyProtection="1">
      <alignment horizontal="center" vertical="center" wrapText="1"/>
      <protection hidden="1"/>
    </xf>
    <xf numFmtId="0" fontId="67" fillId="23" borderId="12" xfId="0" applyFont="1" applyFill="1" applyBorder="1" applyAlignment="1" applyProtection="1">
      <alignment horizontal="center" vertical="center" wrapText="1"/>
      <protection hidden="1"/>
    </xf>
    <xf numFmtId="0" fontId="67" fillId="23" borderId="7" xfId="0" applyFont="1" applyFill="1" applyBorder="1" applyAlignment="1" applyProtection="1">
      <alignment horizontal="center" vertical="center" wrapText="1"/>
      <protection hidden="1"/>
    </xf>
    <xf numFmtId="0" fontId="41" fillId="0" borderId="9" xfId="0" applyFont="1" applyBorder="1" applyAlignment="1" applyProtection="1">
      <alignment horizontal="left" vertical="center"/>
      <protection locked="0"/>
    </xf>
    <xf numFmtId="0" fontId="41" fillId="0" borderId="13" xfId="0" applyFont="1" applyBorder="1" applyAlignment="1" applyProtection="1">
      <alignment horizontal="left" vertical="center"/>
      <protection locked="0"/>
    </xf>
    <xf numFmtId="0" fontId="41" fillId="0" borderId="10" xfId="0" applyFont="1" applyBorder="1" applyAlignment="1" applyProtection="1">
      <alignment horizontal="left" vertical="center"/>
      <protection locked="0"/>
    </xf>
    <xf numFmtId="165" fontId="41" fillId="0" borderId="9" xfId="0" applyNumberFormat="1" applyFont="1" applyBorder="1" applyAlignment="1" applyProtection="1">
      <alignment horizontal="center" vertical="center"/>
      <protection locked="0"/>
    </xf>
    <xf numFmtId="165" fontId="41" fillId="0" borderId="10" xfId="0" applyNumberFormat="1" applyFont="1" applyBorder="1" applyAlignment="1" applyProtection="1">
      <alignment horizontal="center" vertical="center"/>
      <protection locked="0"/>
    </xf>
    <xf numFmtId="0" fontId="67" fillId="23" borderId="9" xfId="0" applyFont="1" applyFill="1" applyBorder="1" applyAlignment="1" applyProtection="1">
      <alignment horizontal="center" vertical="center" wrapText="1"/>
      <protection hidden="1"/>
    </xf>
    <xf numFmtId="0" fontId="67" fillId="23" borderId="10" xfId="0" applyFont="1" applyFill="1" applyBorder="1" applyAlignment="1" applyProtection="1">
      <alignment horizontal="center" vertical="center" wrapText="1"/>
      <protection hidden="1"/>
    </xf>
    <xf numFmtId="0" fontId="9" fillId="23" borderId="1" xfId="0" applyFont="1" applyFill="1" applyBorder="1" applyAlignment="1" applyProtection="1">
      <alignment horizontal="center" vertical="center" wrapText="1"/>
      <protection hidden="1"/>
    </xf>
    <xf numFmtId="0" fontId="0" fillId="7" borderId="0" xfId="0" applyFill="1" applyAlignment="1" applyProtection="1">
      <alignment horizontal="center" vertical="center"/>
      <protection hidden="1"/>
    </xf>
    <xf numFmtId="0" fontId="198" fillId="0" borderId="12" xfId="0" applyFont="1" applyBorder="1" applyAlignment="1" applyProtection="1">
      <alignment horizontal="center" vertical="center"/>
      <protection hidden="1"/>
    </xf>
    <xf numFmtId="0" fontId="78" fillId="18" borderId="0" xfId="0" applyFont="1" applyFill="1" applyAlignment="1" applyProtection="1">
      <alignment horizontal="center" vertical="center"/>
      <protection hidden="1"/>
    </xf>
    <xf numFmtId="0" fontId="0" fillId="0" borderId="0" xfId="0" applyAlignment="1" applyProtection="1">
      <alignment horizontal="center" vertical="center"/>
      <protection hidden="1"/>
    </xf>
    <xf numFmtId="0" fontId="196" fillId="2" borderId="0" xfId="0" applyFont="1" applyFill="1" applyAlignment="1" applyProtection="1">
      <alignment horizontal="center" vertical="center"/>
      <protection hidden="1"/>
    </xf>
    <xf numFmtId="0" fontId="197" fillId="22" borderId="0" xfId="0" applyFont="1" applyFill="1" applyAlignment="1" applyProtection="1">
      <alignment horizontal="center" vertical="center"/>
      <protection hidden="1"/>
    </xf>
    <xf numFmtId="0" fontId="45" fillId="22" borderId="0" xfId="0" applyFont="1" applyFill="1" applyAlignment="1" applyProtection="1">
      <alignment horizontal="center" vertical="center"/>
      <protection hidden="1"/>
    </xf>
    <xf numFmtId="0" fontId="44" fillId="22" borderId="0" xfId="0" applyFont="1" applyFill="1" applyAlignment="1" applyProtection="1">
      <alignment horizontal="center" vertical="center"/>
      <protection hidden="1"/>
    </xf>
    <xf numFmtId="0" fontId="12" fillId="22" borderId="0" xfId="0" applyFont="1" applyFill="1" applyAlignment="1" applyProtection="1">
      <alignment horizontal="center" vertical="center"/>
      <protection hidden="1"/>
    </xf>
    <xf numFmtId="0" fontId="163" fillId="14" borderId="36" xfId="0" applyFont="1" applyFill="1" applyBorder="1" applyAlignment="1" applyProtection="1">
      <alignment horizontal="left" vertical="center"/>
      <protection locked="0"/>
    </xf>
    <xf numFmtId="0" fontId="163" fillId="14" borderId="37" xfId="0" applyFont="1" applyFill="1" applyBorder="1" applyAlignment="1" applyProtection="1">
      <alignment horizontal="left" vertical="center"/>
      <protection locked="0"/>
    </xf>
    <xf numFmtId="0" fontId="77" fillId="10" borderId="36" xfId="0" applyFont="1" applyFill="1" applyBorder="1" applyAlignment="1" applyProtection="1">
      <alignment horizontal="left" vertical="center"/>
      <protection locked="0"/>
    </xf>
    <xf numFmtId="0" fontId="77" fillId="10" borderId="37" xfId="0" applyFont="1" applyFill="1" applyBorder="1" applyAlignment="1" applyProtection="1">
      <alignment horizontal="left" vertical="center"/>
      <protection locked="0"/>
    </xf>
    <xf numFmtId="0" fontId="159" fillId="6" borderId="36" xfId="0" applyFont="1" applyFill="1" applyBorder="1" applyAlignment="1" applyProtection="1">
      <alignment horizontal="left" vertical="center"/>
      <protection locked="0"/>
    </xf>
    <xf numFmtId="0" fontId="159" fillId="6" borderId="37" xfId="0" applyFont="1" applyFill="1" applyBorder="1" applyAlignment="1" applyProtection="1">
      <alignment horizontal="left" vertical="center"/>
      <protection locked="0"/>
    </xf>
    <xf numFmtId="0" fontId="160" fillId="15" borderId="36" xfId="0" applyFont="1" applyFill="1" applyBorder="1" applyAlignment="1" applyProtection="1">
      <alignment horizontal="left" vertical="center"/>
      <protection locked="0"/>
    </xf>
    <xf numFmtId="0" fontId="160" fillId="15" borderId="37" xfId="0" applyFont="1" applyFill="1" applyBorder="1" applyAlignment="1" applyProtection="1">
      <alignment horizontal="left" vertical="center"/>
      <protection locked="0"/>
    </xf>
    <xf numFmtId="0" fontId="161" fillId="17" borderId="36" xfId="0" applyFont="1" applyFill="1" applyBorder="1" applyAlignment="1" applyProtection="1">
      <alignment horizontal="left" vertical="center"/>
      <protection locked="0"/>
    </xf>
    <xf numFmtId="0" fontId="161" fillId="17" borderId="37" xfId="0" applyFont="1" applyFill="1" applyBorder="1" applyAlignment="1" applyProtection="1">
      <alignment horizontal="left" vertical="center"/>
      <protection locked="0"/>
    </xf>
    <xf numFmtId="0" fontId="162" fillId="13" borderId="36" xfId="0" applyFont="1" applyFill="1" applyBorder="1" applyAlignment="1" applyProtection="1">
      <alignment horizontal="left" vertical="center"/>
      <protection locked="0"/>
    </xf>
    <xf numFmtId="0" fontId="162" fillId="13" borderId="37" xfId="0" applyFont="1" applyFill="1" applyBorder="1" applyAlignment="1" applyProtection="1">
      <alignment horizontal="left" vertical="center"/>
      <protection locked="0"/>
    </xf>
    <xf numFmtId="0" fontId="163" fillId="14" borderId="1" xfId="0" applyFont="1" applyFill="1" applyBorder="1" applyAlignment="1" applyProtection="1">
      <alignment horizontal="left" vertical="center"/>
      <protection locked="0"/>
    </xf>
    <xf numFmtId="0" fontId="163" fillId="14" borderId="34" xfId="0" applyFont="1" applyFill="1" applyBorder="1" applyAlignment="1" applyProtection="1">
      <alignment horizontal="left" vertical="center"/>
      <protection locked="0"/>
    </xf>
    <xf numFmtId="0" fontId="77" fillId="10" borderId="1" xfId="0" applyFont="1" applyFill="1" applyBorder="1" applyAlignment="1" applyProtection="1">
      <alignment horizontal="left" vertical="center"/>
      <protection locked="0"/>
    </xf>
    <xf numFmtId="0" fontId="77" fillId="10" borderId="34" xfId="0" applyFont="1" applyFill="1" applyBorder="1" applyAlignment="1" applyProtection="1">
      <alignment horizontal="left" vertical="center"/>
      <protection locked="0"/>
    </xf>
    <xf numFmtId="0" fontId="159" fillId="6" borderId="1" xfId="0" applyFont="1" applyFill="1" applyBorder="1" applyAlignment="1" applyProtection="1">
      <alignment horizontal="left" vertical="center"/>
      <protection locked="0"/>
    </xf>
    <xf numFmtId="0" fontId="159" fillId="6" borderId="34" xfId="0" applyFont="1" applyFill="1" applyBorder="1" applyAlignment="1" applyProtection="1">
      <alignment horizontal="left" vertical="center"/>
      <protection locked="0"/>
    </xf>
    <xf numFmtId="0" fontId="160" fillId="15" borderId="1" xfId="0" applyFont="1" applyFill="1" applyBorder="1" applyAlignment="1" applyProtection="1">
      <alignment horizontal="left" vertical="center"/>
      <protection locked="0"/>
    </xf>
    <xf numFmtId="0" fontId="160" fillId="15" borderId="34" xfId="0" applyFont="1" applyFill="1" applyBorder="1" applyAlignment="1" applyProtection="1">
      <alignment horizontal="left" vertical="center"/>
      <protection locked="0"/>
    </xf>
    <xf numFmtId="0" fontId="161" fillId="17" borderId="1" xfId="0" applyFont="1" applyFill="1" applyBorder="1" applyAlignment="1" applyProtection="1">
      <alignment horizontal="left" vertical="center"/>
      <protection locked="0"/>
    </xf>
    <xf numFmtId="0" fontId="161" fillId="17" borderId="34" xfId="0" applyFont="1" applyFill="1" applyBorder="1" applyAlignment="1" applyProtection="1">
      <alignment horizontal="left" vertical="center"/>
      <protection locked="0"/>
    </xf>
    <xf numFmtId="0" fontId="162" fillId="13" borderId="1" xfId="0" applyFont="1" applyFill="1" applyBorder="1" applyAlignment="1" applyProtection="1">
      <alignment horizontal="left" vertical="center"/>
      <protection locked="0"/>
    </xf>
    <xf numFmtId="0" fontId="162" fillId="13" borderId="34" xfId="0" applyFont="1" applyFill="1" applyBorder="1" applyAlignment="1" applyProtection="1">
      <alignment horizontal="left" vertical="center"/>
      <protection locked="0"/>
    </xf>
    <xf numFmtId="0" fontId="160" fillId="15" borderId="9" xfId="0" applyFont="1" applyFill="1" applyBorder="1" applyAlignment="1" applyProtection="1">
      <alignment horizontal="left" vertical="center"/>
      <protection locked="0"/>
    </xf>
    <xf numFmtId="0" fontId="160" fillId="15" borderId="13" xfId="0" applyFont="1" applyFill="1" applyBorder="1" applyAlignment="1" applyProtection="1">
      <alignment horizontal="left" vertical="center"/>
      <protection locked="0"/>
    </xf>
    <xf numFmtId="0" fontId="160" fillId="15" borderId="51" xfId="0" applyFont="1" applyFill="1" applyBorder="1" applyAlignment="1" applyProtection="1">
      <alignment horizontal="left" vertical="center"/>
      <protection locked="0"/>
    </xf>
    <xf numFmtId="0" fontId="161" fillId="17" borderId="9" xfId="0" applyFont="1" applyFill="1" applyBorder="1" applyAlignment="1" applyProtection="1">
      <alignment horizontal="left" vertical="center"/>
      <protection locked="0"/>
    </xf>
    <xf numFmtId="0" fontId="161" fillId="17" borderId="13" xfId="0" applyFont="1" applyFill="1" applyBorder="1" applyAlignment="1" applyProtection="1">
      <alignment horizontal="left" vertical="center"/>
      <protection locked="0"/>
    </xf>
    <xf numFmtId="0" fontId="161" fillId="17" borderId="51" xfId="0" applyFont="1" applyFill="1" applyBorder="1" applyAlignment="1" applyProtection="1">
      <alignment horizontal="left" vertical="center"/>
      <protection locked="0"/>
    </xf>
    <xf numFmtId="0" fontId="162" fillId="13" borderId="9" xfId="0" applyFont="1" applyFill="1" applyBorder="1" applyAlignment="1" applyProtection="1">
      <alignment horizontal="left" vertical="center"/>
      <protection locked="0"/>
    </xf>
    <xf numFmtId="0" fontId="162" fillId="13" borderId="13" xfId="0" applyFont="1" applyFill="1" applyBorder="1" applyAlignment="1" applyProtection="1">
      <alignment horizontal="left" vertical="center"/>
      <protection locked="0"/>
    </xf>
    <xf numFmtId="0" fontId="162" fillId="13" borderId="51" xfId="0" applyFont="1" applyFill="1" applyBorder="1" applyAlignment="1" applyProtection="1">
      <alignment horizontal="left" vertical="center"/>
      <protection locked="0"/>
    </xf>
    <xf numFmtId="0" fontId="163" fillId="14" borderId="9" xfId="0" applyFont="1" applyFill="1" applyBorder="1" applyAlignment="1" applyProtection="1">
      <alignment horizontal="left" vertical="center"/>
      <protection locked="0"/>
    </xf>
    <xf numFmtId="0" fontId="163" fillId="14" borderId="13" xfId="0" applyFont="1" applyFill="1" applyBorder="1" applyAlignment="1" applyProtection="1">
      <alignment horizontal="left" vertical="center"/>
      <protection locked="0"/>
    </xf>
    <xf numFmtId="0" fontId="163" fillId="14" borderId="51" xfId="0" applyFont="1" applyFill="1" applyBorder="1" applyAlignment="1" applyProtection="1">
      <alignment horizontal="left" vertical="center"/>
      <protection locked="0"/>
    </xf>
    <xf numFmtId="0" fontId="77" fillId="10" borderId="9" xfId="0" applyFont="1" applyFill="1" applyBorder="1" applyAlignment="1" applyProtection="1">
      <alignment horizontal="left" vertical="center"/>
      <protection locked="0"/>
    </xf>
    <xf numFmtId="0" fontId="77" fillId="10" borderId="13" xfId="0" applyFont="1" applyFill="1" applyBorder="1" applyAlignment="1" applyProtection="1">
      <alignment horizontal="left" vertical="center"/>
      <protection locked="0"/>
    </xf>
    <xf numFmtId="0" fontId="77" fillId="10" borderId="51" xfId="0" applyFont="1" applyFill="1" applyBorder="1" applyAlignment="1" applyProtection="1">
      <alignment horizontal="left" vertical="center"/>
      <protection locked="0"/>
    </xf>
    <xf numFmtId="0" fontId="159" fillId="6" borderId="9" xfId="0" applyFont="1" applyFill="1" applyBorder="1" applyAlignment="1" applyProtection="1">
      <alignment horizontal="left" vertical="center"/>
      <protection locked="0"/>
    </xf>
    <xf numFmtId="0" fontId="159" fillId="6" borderId="13" xfId="0" applyFont="1" applyFill="1" applyBorder="1" applyAlignment="1" applyProtection="1">
      <alignment horizontal="left" vertical="center"/>
      <protection locked="0"/>
    </xf>
    <xf numFmtId="0" fontId="159" fillId="6" borderId="51" xfId="0" applyFont="1" applyFill="1" applyBorder="1" applyAlignment="1" applyProtection="1">
      <alignment horizontal="left" vertical="center"/>
      <protection locked="0"/>
    </xf>
    <xf numFmtId="0" fontId="94" fillId="3" borderId="15" xfId="0" applyFont="1" applyFill="1" applyBorder="1" applyAlignment="1" applyProtection="1">
      <alignment horizontal="center" vertical="center"/>
      <protection hidden="1"/>
    </xf>
    <xf numFmtId="0" fontId="94" fillId="3" borderId="44" xfId="0" applyFont="1" applyFill="1" applyBorder="1" applyAlignment="1" applyProtection="1">
      <alignment horizontal="center" vertical="center"/>
      <protection hidden="1"/>
    </xf>
    <xf numFmtId="0" fontId="77" fillId="10" borderId="2" xfId="0" applyFont="1" applyFill="1" applyBorder="1" applyAlignment="1" applyProtection="1">
      <alignment horizontal="left" vertical="center"/>
      <protection locked="0"/>
    </xf>
    <xf numFmtId="0" fontId="77" fillId="10" borderId="25" xfId="0" applyFont="1" applyFill="1" applyBorder="1" applyAlignment="1" applyProtection="1">
      <alignment horizontal="left" vertical="center"/>
      <protection locked="0"/>
    </xf>
    <xf numFmtId="0" fontId="159" fillId="6" borderId="2" xfId="0" applyFont="1" applyFill="1" applyBorder="1" applyAlignment="1" applyProtection="1">
      <alignment horizontal="left" vertical="center"/>
      <protection locked="0"/>
    </xf>
    <xf numFmtId="0" fontId="159" fillId="6" borderId="25" xfId="0" applyFont="1" applyFill="1" applyBorder="1" applyAlignment="1" applyProtection="1">
      <alignment horizontal="left" vertical="center"/>
      <protection locked="0"/>
    </xf>
    <xf numFmtId="0" fontId="160" fillId="15" borderId="2" xfId="0" applyFont="1" applyFill="1" applyBorder="1" applyAlignment="1" applyProtection="1">
      <alignment horizontal="left" vertical="center"/>
      <protection locked="0"/>
    </xf>
    <xf numFmtId="0" fontId="160" fillId="15" borderId="25" xfId="0" applyFont="1" applyFill="1" applyBorder="1" applyAlignment="1" applyProtection="1">
      <alignment horizontal="left" vertical="center"/>
      <protection locked="0"/>
    </xf>
    <xf numFmtId="0" fontId="161" fillId="17" borderId="2" xfId="0" applyFont="1" applyFill="1" applyBorder="1" applyAlignment="1" applyProtection="1">
      <alignment horizontal="left" vertical="center"/>
      <protection locked="0"/>
    </xf>
    <xf numFmtId="0" fontId="161" fillId="17" borderId="25" xfId="0" applyFont="1" applyFill="1" applyBorder="1" applyAlignment="1" applyProtection="1">
      <alignment horizontal="left" vertical="center"/>
      <protection locked="0"/>
    </xf>
    <xf numFmtId="0" fontId="162" fillId="13" borderId="2" xfId="0" applyFont="1" applyFill="1" applyBorder="1" applyAlignment="1" applyProtection="1">
      <alignment horizontal="left" vertical="center"/>
      <protection hidden="1"/>
    </xf>
    <xf numFmtId="0" fontId="162" fillId="13" borderId="25" xfId="0" applyFont="1" applyFill="1" applyBorder="1" applyAlignment="1" applyProtection="1">
      <alignment horizontal="left" vertical="center"/>
      <protection hidden="1"/>
    </xf>
    <xf numFmtId="0" fontId="163" fillId="14" borderId="2" xfId="0" applyFont="1" applyFill="1" applyBorder="1" applyAlignment="1" applyProtection="1">
      <alignment horizontal="left" vertical="center"/>
      <protection locked="0"/>
    </xf>
    <xf numFmtId="0" fontId="163" fillId="14" borderId="25" xfId="0" applyFont="1" applyFill="1" applyBorder="1" applyAlignment="1" applyProtection="1">
      <alignment horizontal="left" vertical="center"/>
      <protection locked="0"/>
    </xf>
    <xf numFmtId="0" fontId="89" fillId="16" borderId="15" xfId="0" applyFont="1" applyFill="1" applyBorder="1" applyAlignment="1" applyProtection="1">
      <alignment horizontal="center" vertical="center"/>
      <protection hidden="1"/>
    </xf>
    <xf numFmtId="0" fontId="89" fillId="16" borderId="44" xfId="0" applyFont="1" applyFill="1" applyBorder="1" applyAlignment="1" applyProtection="1">
      <alignment horizontal="center" vertical="center"/>
      <protection hidden="1"/>
    </xf>
    <xf numFmtId="0" fontId="97" fillId="18" borderId="43" xfId="0" applyFont="1" applyFill="1" applyBorder="1" applyAlignment="1" applyProtection="1">
      <alignment horizontal="center" vertical="center"/>
      <protection hidden="1"/>
    </xf>
    <xf numFmtId="0" fontId="97" fillId="18" borderId="15" xfId="0" applyFont="1" applyFill="1" applyBorder="1" applyAlignment="1" applyProtection="1">
      <alignment horizontal="center" vertical="center"/>
      <protection hidden="1"/>
    </xf>
    <xf numFmtId="0" fontId="97" fillId="18" borderId="44" xfId="0" applyFont="1" applyFill="1" applyBorder="1" applyAlignment="1" applyProtection="1">
      <alignment horizontal="center" vertical="center"/>
      <protection hidden="1"/>
    </xf>
    <xf numFmtId="0" fontId="94" fillId="3" borderId="43" xfId="0" applyFont="1" applyFill="1" applyBorder="1" applyAlignment="1" applyProtection="1">
      <alignment horizontal="center" vertical="center"/>
      <protection hidden="1"/>
    </xf>
    <xf numFmtId="0" fontId="113" fillId="8" borderId="43" xfId="0" applyFont="1" applyFill="1" applyBorder="1" applyAlignment="1" applyProtection="1">
      <alignment horizontal="center" vertical="center"/>
      <protection hidden="1"/>
    </xf>
    <xf numFmtId="0" fontId="113" fillId="8" borderId="15" xfId="0" applyFont="1" applyFill="1" applyBorder="1" applyAlignment="1" applyProtection="1">
      <alignment horizontal="center" vertical="center"/>
      <protection hidden="1"/>
    </xf>
    <xf numFmtId="0" fontId="113" fillId="8" borderId="44" xfId="0" applyFont="1" applyFill="1" applyBorder="1" applyAlignment="1" applyProtection="1">
      <alignment horizontal="center" vertical="center"/>
      <protection hidden="1"/>
    </xf>
    <xf numFmtId="0" fontId="89" fillId="16" borderId="43" xfId="0" applyFont="1" applyFill="1" applyBorder="1" applyAlignment="1" applyProtection="1">
      <alignment horizontal="center" vertical="center"/>
      <protection hidden="1"/>
    </xf>
    <xf numFmtId="0" fontId="108" fillId="8" borderId="40" xfId="0" applyFont="1" applyFill="1" applyBorder="1" applyAlignment="1" applyProtection="1">
      <alignment horizontal="center" vertical="center"/>
      <protection hidden="1"/>
    </xf>
    <xf numFmtId="0" fontId="108" fillId="8" borderId="28" xfId="0" applyFont="1" applyFill="1" applyBorder="1" applyAlignment="1" applyProtection="1">
      <alignment horizontal="center" vertical="center"/>
      <protection hidden="1"/>
    </xf>
    <xf numFmtId="0" fontId="108" fillId="8" borderId="29" xfId="0" applyFont="1" applyFill="1" applyBorder="1" applyAlignment="1" applyProtection="1">
      <alignment horizontal="center" vertical="center"/>
      <protection hidden="1"/>
    </xf>
    <xf numFmtId="0" fontId="108" fillId="16" borderId="40" xfId="0" applyFont="1" applyFill="1" applyBorder="1" applyAlignment="1" applyProtection="1">
      <alignment horizontal="center" vertical="center"/>
      <protection hidden="1"/>
    </xf>
    <xf numFmtId="0" fontId="108" fillId="16" borderId="28" xfId="0" applyFont="1" applyFill="1" applyBorder="1" applyAlignment="1" applyProtection="1">
      <alignment horizontal="center" vertical="center"/>
      <protection hidden="1"/>
    </xf>
    <xf numFmtId="0" fontId="108" fillId="16" borderId="29" xfId="0" applyFont="1" applyFill="1" applyBorder="1" applyAlignment="1" applyProtection="1">
      <alignment horizontal="center" vertical="center"/>
      <protection hidden="1"/>
    </xf>
    <xf numFmtId="0" fontId="108" fillId="18" borderId="40" xfId="0" applyFont="1" applyFill="1" applyBorder="1" applyAlignment="1" applyProtection="1">
      <alignment horizontal="center" vertical="center"/>
      <protection hidden="1"/>
    </xf>
    <xf numFmtId="0" fontId="108" fillId="18" borderId="28" xfId="0" applyFont="1" applyFill="1" applyBorder="1" applyAlignment="1" applyProtection="1">
      <alignment horizontal="center" vertical="center"/>
      <protection hidden="1"/>
    </xf>
    <xf numFmtId="0" fontId="108" fillId="18" borderId="29" xfId="0" applyFont="1" applyFill="1" applyBorder="1" applyAlignment="1" applyProtection="1">
      <alignment horizontal="center" vertical="center"/>
      <protection hidden="1"/>
    </xf>
    <xf numFmtId="0" fontId="108" fillId="3" borderId="40" xfId="0" applyFont="1" applyFill="1" applyBorder="1" applyAlignment="1" applyProtection="1">
      <alignment horizontal="center" vertical="center"/>
      <protection hidden="1"/>
    </xf>
    <xf numFmtId="0" fontId="108" fillId="3" borderId="28" xfId="0" applyFont="1" applyFill="1" applyBorder="1" applyAlignment="1" applyProtection="1">
      <alignment horizontal="center" vertical="center"/>
      <protection hidden="1"/>
    </xf>
    <xf numFmtId="0" fontId="108" fillId="3" borderId="29" xfId="0" applyFont="1" applyFill="1" applyBorder="1" applyAlignment="1" applyProtection="1">
      <alignment horizontal="center" vertical="center"/>
      <protection hidden="1"/>
    </xf>
    <xf numFmtId="0" fontId="148" fillId="2" borderId="41" xfId="0" applyFont="1" applyFill="1" applyBorder="1" applyAlignment="1" applyProtection="1">
      <alignment horizontal="center" vertical="center" wrapText="1"/>
      <protection hidden="1"/>
    </xf>
    <xf numFmtId="0" fontId="148" fillId="2" borderId="39" xfId="0" applyFont="1" applyFill="1" applyBorder="1" applyAlignment="1" applyProtection="1">
      <alignment horizontal="center" vertical="center" wrapText="1"/>
      <protection hidden="1"/>
    </xf>
    <xf numFmtId="0" fontId="148" fillId="2" borderId="42" xfId="0" applyFont="1" applyFill="1" applyBorder="1" applyAlignment="1" applyProtection="1">
      <alignment horizontal="center" vertical="center" wrapText="1"/>
      <protection hidden="1"/>
    </xf>
    <xf numFmtId="0" fontId="148" fillId="4" borderId="41" xfId="0" applyFont="1" applyFill="1" applyBorder="1" applyAlignment="1" applyProtection="1">
      <alignment horizontal="center" vertical="center" wrapText="1"/>
      <protection hidden="1"/>
    </xf>
    <xf numFmtId="0" fontId="148" fillId="4" borderId="39" xfId="0" applyFont="1" applyFill="1" applyBorder="1" applyAlignment="1" applyProtection="1">
      <alignment horizontal="center" vertical="center" wrapText="1"/>
      <protection hidden="1"/>
    </xf>
    <xf numFmtId="0" fontId="148" fillId="4" borderId="42" xfId="0" applyFont="1" applyFill="1" applyBorder="1" applyAlignment="1" applyProtection="1">
      <alignment horizontal="center" vertical="center" wrapText="1"/>
      <protection hidden="1"/>
    </xf>
    <xf numFmtId="0" fontId="148" fillId="8" borderId="41" xfId="0" applyFont="1" applyFill="1" applyBorder="1" applyAlignment="1" applyProtection="1">
      <alignment horizontal="center" vertical="center" wrapText="1"/>
      <protection hidden="1"/>
    </xf>
    <xf numFmtId="0" fontId="148" fillId="8" borderId="39" xfId="0" applyFont="1" applyFill="1" applyBorder="1" applyAlignment="1" applyProtection="1">
      <alignment horizontal="center" vertical="center" wrapText="1"/>
      <protection hidden="1"/>
    </xf>
    <xf numFmtId="0" fontId="148" fillId="8" borderId="42" xfId="0" applyFont="1" applyFill="1" applyBorder="1" applyAlignment="1" applyProtection="1">
      <alignment horizontal="center" vertical="center" wrapText="1"/>
      <protection hidden="1"/>
    </xf>
    <xf numFmtId="0" fontId="148" fillId="16" borderId="41" xfId="0" applyFont="1" applyFill="1" applyBorder="1" applyAlignment="1" applyProtection="1">
      <alignment horizontal="center" vertical="center" wrapText="1"/>
      <protection hidden="1"/>
    </xf>
    <xf numFmtId="0" fontId="148" fillId="16" borderId="39" xfId="0" applyFont="1" applyFill="1" applyBorder="1" applyAlignment="1" applyProtection="1">
      <alignment horizontal="center" vertical="center" wrapText="1"/>
      <protection hidden="1"/>
    </xf>
    <xf numFmtId="0" fontId="148" fillId="16" borderId="42" xfId="0" applyFont="1" applyFill="1" applyBorder="1" applyAlignment="1" applyProtection="1">
      <alignment horizontal="center" vertical="center" wrapText="1"/>
      <protection hidden="1"/>
    </xf>
    <xf numFmtId="0" fontId="148" fillId="18" borderId="41" xfId="0" applyFont="1" applyFill="1" applyBorder="1" applyAlignment="1" applyProtection="1">
      <alignment horizontal="center" vertical="center" wrapText="1"/>
      <protection hidden="1"/>
    </xf>
    <xf numFmtId="0" fontId="148" fillId="18" borderId="39" xfId="0" applyFont="1" applyFill="1" applyBorder="1" applyAlignment="1" applyProtection="1">
      <alignment horizontal="center" vertical="center" wrapText="1"/>
      <protection hidden="1"/>
    </xf>
    <xf numFmtId="0" fontId="148" fillId="18" borderId="42" xfId="0" applyFont="1" applyFill="1" applyBorder="1" applyAlignment="1" applyProtection="1">
      <alignment horizontal="center" vertical="center" wrapText="1"/>
      <protection hidden="1"/>
    </xf>
    <xf numFmtId="0" fontId="148" fillId="3" borderId="41" xfId="0" applyFont="1" applyFill="1" applyBorder="1" applyAlignment="1" applyProtection="1">
      <alignment horizontal="center" vertical="center" wrapText="1"/>
      <protection hidden="1"/>
    </xf>
    <xf numFmtId="0" fontId="148" fillId="3" borderId="39" xfId="0" applyFont="1" applyFill="1" applyBorder="1" applyAlignment="1" applyProtection="1">
      <alignment horizontal="center" vertical="center" wrapText="1"/>
      <protection hidden="1"/>
    </xf>
    <xf numFmtId="0" fontId="148" fillId="3" borderId="42" xfId="0" applyFont="1" applyFill="1" applyBorder="1" applyAlignment="1" applyProtection="1">
      <alignment horizontal="center" vertical="center" wrapText="1"/>
      <protection hidden="1"/>
    </xf>
    <xf numFmtId="0" fontId="108" fillId="2" borderId="40" xfId="0" applyFont="1" applyFill="1" applyBorder="1" applyAlignment="1" applyProtection="1">
      <alignment horizontal="center" vertical="center"/>
      <protection hidden="1"/>
    </xf>
    <xf numFmtId="0" fontId="108" fillId="2" borderId="28" xfId="0" applyFont="1" applyFill="1" applyBorder="1" applyAlignment="1" applyProtection="1">
      <alignment horizontal="center" vertical="center"/>
      <protection hidden="1"/>
    </xf>
    <xf numFmtId="0" fontId="108" fillId="2" borderId="29" xfId="0" applyFont="1" applyFill="1" applyBorder="1" applyAlignment="1" applyProtection="1">
      <alignment horizontal="center" vertical="center"/>
      <protection hidden="1"/>
    </xf>
    <xf numFmtId="0" fontId="108" fillId="4" borderId="40" xfId="0" applyFont="1" applyFill="1" applyBorder="1" applyAlignment="1" applyProtection="1">
      <alignment horizontal="center" vertical="center"/>
      <protection hidden="1"/>
    </xf>
    <xf numFmtId="0" fontId="108" fillId="4" borderId="28" xfId="0" applyFont="1" applyFill="1" applyBorder="1" applyAlignment="1" applyProtection="1">
      <alignment horizontal="center" vertical="center"/>
      <protection hidden="1"/>
    </xf>
    <xf numFmtId="0" fontId="108" fillId="4" borderId="29" xfId="0" applyFont="1" applyFill="1" applyBorder="1" applyAlignment="1" applyProtection="1">
      <alignment horizontal="center" vertical="center"/>
      <protection hidden="1"/>
    </xf>
    <xf numFmtId="0" fontId="105" fillId="2" borderId="43" xfId="0" applyFont="1" applyFill="1" applyBorder="1" applyAlignment="1" applyProtection="1">
      <alignment horizontal="center" vertical="center"/>
      <protection hidden="1"/>
    </xf>
    <xf numFmtId="0" fontId="105" fillId="2" borderId="15" xfId="0" applyFont="1" applyFill="1" applyBorder="1" applyAlignment="1" applyProtection="1">
      <alignment horizontal="center" vertical="center"/>
      <protection hidden="1"/>
    </xf>
    <xf numFmtId="0" fontId="105" fillId="2" borderId="44" xfId="0" applyFont="1" applyFill="1" applyBorder="1" applyAlignment="1" applyProtection="1">
      <alignment horizontal="center" vertical="center"/>
      <protection hidden="1"/>
    </xf>
    <xf numFmtId="0" fontId="104" fillId="4" borderId="43" xfId="0" applyFont="1" applyFill="1" applyBorder="1" applyAlignment="1" applyProtection="1">
      <alignment horizontal="center" vertical="center"/>
      <protection hidden="1"/>
    </xf>
    <xf numFmtId="0" fontId="104" fillId="4" borderId="15" xfId="0" applyFont="1" applyFill="1" applyBorder="1" applyAlignment="1" applyProtection="1">
      <alignment horizontal="center" vertical="center"/>
      <protection hidden="1"/>
    </xf>
    <xf numFmtId="0" fontId="104" fillId="4" borderId="44" xfId="0" applyFont="1" applyFill="1" applyBorder="1" applyAlignment="1" applyProtection="1">
      <alignment horizontal="center" vertical="center"/>
      <protection hidden="1"/>
    </xf>
    <xf numFmtId="0" fontId="83" fillId="2" borderId="21" xfId="0" applyFont="1" applyFill="1" applyBorder="1" applyAlignment="1" applyProtection="1">
      <alignment horizontal="center" vertical="center"/>
      <protection hidden="1"/>
    </xf>
    <xf numFmtId="0" fontId="83" fillId="2" borderId="22" xfId="0" applyFont="1" applyFill="1" applyBorder="1" applyAlignment="1" applyProtection="1">
      <alignment horizontal="center" vertical="center"/>
      <protection hidden="1"/>
    </xf>
    <xf numFmtId="0" fontId="83" fillId="2" borderId="23" xfId="0" applyFont="1" applyFill="1" applyBorder="1" applyAlignment="1" applyProtection="1">
      <alignment horizontal="center" vertical="center"/>
      <protection hidden="1"/>
    </xf>
    <xf numFmtId="0" fontId="106" fillId="2" borderId="15" xfId="0" applyFont="1" applyFill="1" applyBorder="1" applyAlignment="1" applyProtection="1">
      <alignment horizontal="center" vertical="center" wrapText="1"/>
      <protection hidden="1"/>
    </xf>
    <xf numFmtId="0" fontId="112" fillId="18" borderId="15" xfId="0" applyFont="1" applyFill="1" applyBorder="1" applyAlignment="1" applyProtection="1">
      <alignment horizontal="center" vertical="center" wrapText="1"/>
      <protection hidden="1"/>
    </xf>
    <xf numFmtId="0" fontId="109" fillId="4" borderId="15" xfId="0" applyFont="1" applyFill="1" applyBorder="1" applyAlignment="1" applyProtection="1">
      <alignment horizontal="center" vertical="center" wrapText="1"/>
      <protection hidden="1"/>
    </xf>
    <xf numFmtId="0" fontId="127" fillId="4" borderId="18" xfId="0" applyFont="1" applyFill="1" applyBorder="1" applyAlignment="1" applyProtection="1">
      <alignment horizontal="center" vertical="center" textRotation="90" wrapText="1"/>
      <protection hidden="1"/>
    </xf>
    <xf numFmtId="0" fontId="127" fillId="4" borderId="26" xfId="0" applyFont="1" applyFill="1" applyBorder="1" applyAlignment="1" applyProtection="1">
      <alignment horizontal="center" vertical="center" textRotation="90" wrapText="1"/>
      <protection hidden="1"/>
    </xf>
    <xf numFmtId="0" fontId="127" fillId="4" borderId="67" xfId="0" applyFont="1" applyFill="1" applyBorder="1" applyAlignment="1" applyProtection="1">
      <alignment horizontal="center" vertical="center" textRotation="90" wrapText="1"/>
      <protection hidden="1"/>
    </xf>
    <xf numFmtId="0" fontId="109" fillId="4" borderId="18" xfId="0" applyFont="1" applyFill="1" applyBorder="1" applyAlignment="1" applyProtection="1">
      <alignment horizontal="center" vertical="center" wrapText="1"/>
      <protection hidden="1"/>
    </xf>
    <xf numFmtId="0" fontId="109" fillId="4" borderId="26" xfId="0" applyFont="1" applyFill="1" applyBorder="1" applyAlignment="1" applyProtection="1">
      <alignment horizontal="center" vertical="center" wrapText="1"/>
      <protection hidden="1"/>
    </xf>
    <xf numFmtId="0" fontId="109" fillId="4" borderId="67" xfId="0" applyFont="1" applyFill="1" applyBorder="1" applyAlignment="1" applyProtection="1">
      <alignment horizontal="center" vertical="center" wrapText="1"/>
      <protection hidden="1"/>
    </xf>
    <xf numFmtId="0" fontId="128" fillId="4" borderId="63" xfId="0" applyFont="1" applyFill="1" applyBorder="1" applyAlignment="1" applyProtection="1">
      <alignment horizontal="center" vertical="center" wrapText="1"/>
      <protection hidden="1"/>
    </xf>
    <xf numFmtId="0" fontId="128" fillId="4" borderId="64" xfId="0" applyFont="1" applyFill="1" applyBorder="1" applyAlignment="1" applyProtection="1">
      <alignment horizontal="center" vertical="center" wrapText="1"/>
      <protection hidden="1"/>
    </xf>
    <xf numFmtId="0" fontId="128" fillId="4" borderId="65" xfId="0" applyFont="1" applyFill="1" applyBorder="1" applyAlignment="1" applyProtection="1">
      <alignment horizontal="center" vertical="center" wrapText="1"/>
      <protection hidden="1"/>
    </xf>
    <xf numFmtId="0" fontId="128" fillId="4" borderId="66" xfId="0" applyFont="1" applyFill="1" applyBorder="1" applyAlignment="1" applyProtection="1">
      <alignment horizontal="center" vertical="center" wrapText="1"/>
      <protection hidden="1"/>
    </xf>
    <xf numFmtId="0" fontId="109" fillId="4" borderId="63" xfId="0" applyFont="1" applyFill="1" applyBorder="1" applyAlignment="1" applyProtection="1">
      <alignment horizontal="center" vertical="center" wrapText="1"/>
      <protection hidden="1"/>
    </xf>
    <xf numFmtId="0" fontId="109" fillId="4" borderId="64" xfId="0" applyFont="1" applyFill="1" applyBorder="1" applyAlignment="1" applyProtection="1">
      <alignment horizontal="center" vertical="center" wrapText="1"/>
      <protection hidden="1"/>
    </xf>
    <xf numFmtId="0" fontId="109" fillId="4" borderId="65" xfId="0" applyFont="1" applyFill="1" applyBorder="1" applyAlignment="1" applyProtection="1">
      <alignment horizontal="center" vertical="center" wrapText="1"/>
      <protection hidden="1"/>
    </xf>
    <xf numFmtId="0" fontId="109" fillId="4" borderId="66" xfId="0" applyFont="1" applyFill="1" applyBorder="1" applyAlignment="1" applyProtection="1">
      <alignment horizontal="center" vertical="center" wrapText="1"/>
      <protection hidden="1"/>
    </xf>
    <xf numFmtId="0" fontId="109" fillId="4" borderId="19" xfId="0" applyFont="1" applyFill="1" applyBorder="1" applyAlignment="1" applyProtection="1">
      <alignment horizontal="center" vertical="center" wrapText="1"/>
      <protection hidden="1"/>
    </xf>
    <xf numFmtId="0" fontId="109" fillId="4" borderId="20" xfId="0" applyFont="1" applyFill="1" applyBorder="1" applyAlignment="1" applyProtection="1">
      <alignment horizontal="center" vertical="center" wrapText="1"/>
      <protection hidden="1"/>
    </xf>
    <xf numFmtId="0" fontId="109" fillId="4" borderId="17" xfId="0" applyFont="1" applyFill="1" applyBorder="1" applyAlignment="1" applyProtection="1">
      <alignment horizontal="center" vertical="center" wrapText="1"/>
      <protection hidden="1"/>
    </xf>
    <xf numFmtId="0" fontId="135" fillId="16" borderId="43" xfId="0" applyFont="1" applyFill="1" applyBorder="1" applyAlignment="1" applyProtection="1">
      <alignment horizontal="center" vertical="center" wrapText="1"/>
      <protection hidden="1"/>
    </xf>
    <xf numFmtId="0" fontId="135" fillId="16" borderId="50" xfId="0" applyFont="1" applyFill="1" applyBorder="1" applyAlignment="1" applyProtection="1">
      <alignment horizontal="center" vertical="center" wrapText="1"/>
      <protection hidden="1"/>
    </xf>
    <xf numFmtId="0" fontId="135" fillId="16" borderId="15" xfId="0" applyFont="1" applyFill="1" applyBorder="1" applyAlignment="1" applyProtection="1">
      <alignment horizontal="center" vertical="center" textRotation="90" wrapText="1"/>
      <protection hidden="1"/>
    </xf>
    <xf numFmtId="0" fontId="135" fillId="16" borderId="18" xfId="0" applyFont="1" applyFill="1" applyBorder="1" applyAlignment="1" applyProtection="1">
      <alignment horizontal="center" vertical="center" textRotation="90" wrapText="1"/>
      <protection hidden="1"/>
    </xf>
    <xf numFmtId="0" fontId="115" fillId="16" borderId="15" xfId="0" applyFont="1" applyFill="1" applyBorder="1" applyAlignment="1" applyProtection="1">
      <alignment horizontal="center" vertical="center" wrapText="1"/>
      <protection hidden="1"/>
    </xf>
    <xf numFmtId="0" fontId="115" fillId="16" borderId="18" xfId="0" applyFont="1" applyFill="1" applyBorder="1" applyAlignment="1" applyProtection="1">
      <alignment horizontal="center" vertical="center" wrapText="1"/>
      <protection hidden="1"/>
    </xf>
    <xf numFmtId="0" fontId="136" fillId="16" borderId="15" xfId="0" applyFont="1" applyFill="1" applyBorder="1" applyAlignment="1" applyProtection="1">
      <alignment horizontal="center" vertical="center" wrapText="1"/>
      <protection hidden="1"/>
    </xf>
    <xf numFmtId="0" fontId="146" fillId="3" borderId="19" xfId="0" applyFont="1" applyFill="1" applyBorder="1" applyAlignment="1" applyProtection="1">
      <alignment horizontal="center" vertical="center" wrapText="1"/>
      <protection hidden="1"/>
    </xf>
    <xf numFmtId="0" fontId="146" fillId="3" borderId="17" xfId="0" applyFont="1" applyFill="1" applyBorder="1" applyAlignment="1" applyProtection="1">
      <alignment horizontal="center" vertical="center" wrapText="1"/>
      <protection hidden="1"/>
    </xf>
    <xf numFmtId="0" fontId="135" fillId="16" borderId="61" xfId="0" applyFont="1" applyFill="1" applyBorder="1" applyAlignment="1" applyProtection="1">
      <alignment horizontal="center" vertical="center" wrapText="1"/>
      <protection hidden="1"/>
    </xf>
    <xf numFmtId="0" fontId="135" fillId="16" borderId="62" xfId="0" applyFont="1" applyFill="1" applyBorder="1" applyAlignment="1" applyProtection="1">
      <alignment horizontal="center" vertical="center" wrapText="1"/>
      <protection hidden="1"/>
    </xf>
    <xf numFmtId="0" fontId="136" fillId="16" borderId="63" xfId="0" applyFont="1" applyFill="1" applyBorder="1" applyAlignment="1" applyProtection="1">
      <alignment horizontal="center" vertical="center" wrapText="1"/>
      <protection hidden="1"/>
    </xf>
    <xf numFmtId="0" fontId="136" fillId="16" borderId="64" xfId="0" applyFont="1" applyFill="1" applyBorder="1" applyAlignment="1" applyProtection="1">
      <alignment horizontal="center" vertical="center" wrapText="1"/>
      <protection hidden="1"/>
    </xf>
    <xf numFmtId="0" fontId="136" fillId="16" borderId="65" xfId="0" applyFont="1" applyFill="1" applyBorder="1" applyAlignment="1" applyProtection="1">
      <alignment horizontal="center" vertical="center" wrapText="1"/>
      <protection hidden="1"/>
    </xf>
    <xf numFmtId="0" fontId="136" fillId="16" borderId="66" xfId="0" applyFont="1" applyFill="1" applyBorder="1" applyAlignment="1" applyProtection="1">
      <alignment horizontal="center" vertical="center" wrapText="1"/>
      <protection hidden="1"/>
    </xf>
    <xf numFmtId="0" fontId="115" fillId="16" borderId="19" xfId="0" applyFont="1" applyFill="1" applyBorder="1" applyAlignment="1" applyProtection="1">
      <alignment horizontal="center" vertical="center" wrapText="1"/>
      <protection hidden="1"/>
    </xf>
    <xf numFmtId="0" fontId="115" fillId="16" borderId="17" xfId="0" applyFont="1" applyFill="1" applyBorder="1" applyAlignment="1" applyProtection="1">
      <alignment horizontal="center" vertical="center" wrapText="1"/>
      <protection hidden="1"/>
    </xf>
    <xf numFmtId="0" fontId="131" fillId="8" borderId="50" xfId="0" applyFont="1" applyFill="1" applyBorder="1" applyAlignment="1" applyProtection="1">
      <alignment horizontal="center" vertical="center" wrapText="1"/>
      <protection hidden="1"/>
    </xf>
    <xf numFmtId="0" fontId="131" fillId="8" borderId="61" xfId="0" applyFont="1" applyFill="1" applyBorder="1" applyAlignment="1" applyProtection="1">
      <alignment horizontal="center" vertical="center" wrapText="1"/>
      <protection hidden="1"/>
    </xf>
    <xf numFmtId="0" fontId="131" fillId="8" borderId="62" xfId="0" applyFont="1" applyFill="1" applyBorder="1" applyAlignment="1" applyProtection="1">
      <alignment horizontal="center" vertical="center" wrapText="1"/>
      <protection hidden="1"/>
    </xf>
    <xf numFmtId="0" fontId="112" fillId="18" borderId="18" xfId="0" applyFont="1" applyFill="1" applyBorder="1" applyAlignment="1" applyProtection="1">
      <alignment horizontal="center" vertical="center" wrapText="1"/>
      <protection hidden="1"/>
    </xf>
    <xf numFmtId="0" fontId="112" fillId="18" borderId="26" xfId="0" applyFont="1" applyFill="1" applyBorder="1" applyAlignment="1" applyProtection="1">
      <alignment horizontal="center" vertical="center" wrapText="1"/>
      <protection hidden="1"/>
    </xf>
    <xf numFmtId="0" fontId="112" fillId="18" borderId="67" xfId="0" applyFont="1" applyFill="1" applyBorder="1" applyAlignment="1" applyProtection="1">
      <alignment horizontal="center" vertical="center" wrapText="1"/>
      <protection hidden="1"/>
    </xf>
    <xf numFmtId="0" fontId="142" fillId="18" borderId="63" xfId="0" applyFont="1" applyFill="1" applyBorder="1" applyAlignment="1" applyProtection="1">
      <alignment horizontal="center" vertical="center" wrapText="1"/>
      <protection hidden="1"/>
    </xf>
    <xf numFmtId="0" fontId="142" fillId="18" borderId="64" xfId="0" applyFont="1" applyFill="1" applyBorder="1" applyAlignment="1" applyProtection="1">
      <alignment horizontal="center" vertical="center" wrapText="1"/>
      <protection hidden="1"/>
    </xf>
    <xf numFmtId="0" fontId="142" fillId="18" borderId="65" xfId="0" applyFont="1" applyFill="1" applyBorder="1" applyAlignment="1" applyProtection="1">
      <alignment horizontal="center" vertical="center" wrapText="1"/>
      <protection hidden="1"/>
    </xf>
    <xf numFmtId="0" fontId="142" fillId="18" borderId="66" xfId="0" applyFont="1" applyFill="1" applyBorder="1" applyAlignment="1" applyProtection="1">
      <alignment horizontal="center" vertical="center" wrapText="1"/>
      <protection hidden="1"/>
    </xf>
    <xf numFmtId="0" fontId="125" fillId="2" borderId="43" xfId="0" applyFont="1" applyFill="1" applyBorder="1" applyAlignment="1" applyProtection="1">
      <alignment horizontal="center" vertical="center" wrapText="1"/>
      <protection hidden="1"/>
    </xf>
    <xf numFmtId="0" fontId="126" fillId="2" borderId="15" xfId="0" applyFont="1" applyFill="1" applyBorder="1" applyAlignment="1" applyProtection="1">
      <alignment horizontal="center" vertical="center" wrapText="1"/>
      <protection hidden="1"/>
    </xf>
    <xf numFmtId="0" fontId="127" fillId="4" borderId="50" xfId="0" applyFont="1" applyFill="1" applyBorder="1" applyAlignment="1" applyProtection="1">
      <alignment horizontal="center" vertical="center" wrapText="1"/>
      <protection hidden="1"/>
    </xf>
    <xf numFmtId="0" fontId="127" fillId="4" borderId="61" xfId="0" applyFont="1" applyFill="1" applyBorder="1" applyAlignment="1" applyProtection="1">
      <alignment horizontal="center" vertical="center" wrapText="1"/>
      <protection hidden="1"/>
    </xf>
    <xf numFmtId="0" fontId="127" fillId="4" borderId="62" xfId="0" applyFont="1" applyFill="1" applyBorder="1" applyAlignment="1" applyProtection="1">
      <alignment horizontal="center" vertical="center" wrapText="1"/>
      <protection hidden="1"/>
    </xf>
    <xf numFmtId="0" fontId="125" fillId="2" borderId="15" xfId="0" applyFont="1" applyFill="1" applyBorder="1" applyAlignment="1" applyProtection="1">
      <alignment horizontal="center" vertical="center" textRotation="90" wrapText="1"/>
      <protection hidden="1"/>
    </xf>
    <xf numFmtId="0" fontId="106" fillId="2" borderId="44" xfId="0" applyFont="1" applyFill="1" applyBorder="1" applyAlignment="1" applyProtection="1">
      <alignment horizontal="center" vertical="center" wrapText="1"/>
      <protection hidden="1"/>
    </xf>
    <xf numFmtId="0" fontId="131" fillId="8" borderId="18" xfId="0" applyFont="1" applyFill="1" applyBorder="1" applyAlignment="1" applyProtection="1">
      <alignment horizontal="center" vertical="center" textRotation="90" wrapText="1"/>
      <protection hidden="1"/>
    </xf>
    <xf numFmtId="0" fontId="131" fillId="8" borderId="26" xfId="0" applyFont="1" applyFill="1" applyBorder="1" applyAlignment="1" applyProtection="1">
      <alignment horizontal="center" vertical="center" textRotation="90" wrapText="1"/>
      <protection hidden="1"/>
    </xf>
    <xf numFmtId="0" fontId="131" fillId="8" borderId="67" xfId="0" applyFont="1" applyFill="1" applyBorder="1" applyAlignment="1" applyProtection="1">
      <alignment horizontal="center" vertical="center" textRotation="90" wrapText="1"/>
      <protection hidden="1"/>
    </xf>
    <xf numFmtId="0" fontId="114" fillId="8" borderId="18" xfId="0" applyFont="1" applyFill="1" applyBorder="1" applyAlignment="1" applyProtection="1">
      <alignment horizontal="center" vertical="center" wrapText="1"/>
      <protection hidden="1"/>
    </xf>
    <xf numFmtId="0" fontId="114" fillId="8" borderId="26" xfId="0" applyFont="1" applyFill="1" applyBorder="1" applyAlignment="1" applyProtection="1">
      <alignment horizontal="center" vertical="center" wrapText="1"/>
      <protection hidden="1"/>
    </xf>
    <xf numFmtId="0" fontId="114" fillId="8" borderId="67" xfId="0" applyFont="1" applyFill="1" applyBorder="1" applyAlignment="1" applyProtection="1">
      <alignment horizontal="center" vertical="center" wrapText="1"/>
      <protection hidden="1"/>
    </xf>
    <xf numFmtId="0" fontId="132" fillId="8" borderId="63" xfId="0" applyFont="1" applyFill="1" applyBorder="1" applyAlignment="1" applyProtection="1">
      <alignment horizontal="center" vertical="center" wrapText="1"/>
      <protection hidden="1"/>
    </xf>
    <xf numFmtId="0" fontId="132" fillId="8" borderId="64" xfId="0" applyFont="1" applyFill="1" applyBorder="1" applyAlignment="1" applyProtection="1">
      <alignment horizontal="center" vertical="center" wrapText="1"/>
      <protection hidden="1"/>
    </xf>
    <xf numFmtId="0" fontId="132" fillId="8" borderId="65" xfId="0" applyFont="1" applyFill="1" applyBorder="1" applyAlignment="1" applyProtection="1">
      <alignment horizontal="center" vertical="center" wrapText="1"/>
      <protection hidden="1"/>
    </xf>
    <xf numFmtId="0" fontId="132" fillId="8" borderId="66" xfId="0" applyFont="1" applyFill="1" applyBorder="1" applyAlignment="1" applyProtection="1">
      <alignment horizontal="center" vertical="center" wrapText="1"/>
      <protection hidden="1"/>
    </xf>
    <xf numFmtId="0" fontId="114" fillId="8" borderId="63" xfId="0" applyFont="1" applyFill="1" applyBorder="1" applyAlignment="1" applyProtection="1">
      <alignment horizontal="center" vertical="center" wrapText="1"/>
      <protection hidden="1"/>
    </xf>
    <xf numFmtId="0" fontId="114" fillId="8" borderId="64" xfId="0" applyFont="1" applyFill="1" applyBorder="1" applyAlignment="1" applyProtection="1">
      <alignment horizontal="center" vertical="center" wrapText="1"/>
      <protection hidden="1"/>
    </xf>
    <xf numFmtId="0" fontId="114" fillId="8" borderId="65" xfId="0" applyFont="1" applyFill="1" applyBorder="1" applyAlignment="1" applyProtection="1">
      <alignment horizontal="center" vertical="center" wrapText="1"/>
      <protection hidden="1"/>
    </xf>
    <xf numFmtId="0" fontId="114" fillId="8" borderId="66" xfId="0" applyFont="1" applyFill="1" applyBorder="1" applyAlignment="1" applyProtection="1">
      <alignment horizontal="center" vertical="center" wrapText="1"/>
      <protection hidden="1"/>
    </xf>
    <xf numFmtId="0" fontId="114" fillId="8" borderId="19" xfId="0" applyFont="1" applyFill="1" applyBorder="1" applyAlignment="1" applyProtection="1">
      <alignment horizontal="center" vertical="center" wrapText="1"/>
      <protection hidden="1"/>
    </xf>
    <xf numFmtId="0" fontId="114" fillId="8" borderId="20" xfId="0" applyFont="1" applyFill="1" applyBorder="1" applyAlignment="1" applyProtection="1">
      <alignment horizontal="center" vertical="center" wrapText="1"/>
      <protection hidden="1"/>
    </xf>
    <xf numFmtId="0" fontId="114" fillId="8" borderId="17" xfId="0" applyFont="1" applyFill="1" applyBorder="1" applyAlignment="1" applyProtection="1">
      <alignment horizontal="center" vertical="center" wrapText="1"/>
      <protection hidden="1"/>
    </xf>
    <xf numFmtId="0" fontId="135" fillId="16" borderId="26" xfId="0" applyFont="1" applyFill="1" applyBorder="1" applyAlignment="1" applyProtection="1">
      <alignment horizontal="center" vertical="center" textRotation="90" wrapText="1"/>
      <protection hidden="1"/>
    </xf>
    <xf numFmtId="0" fontId="135" fillId="16" borderId="67" xfId="0" applyFont="1" applyFill="1" applyBorder="1" applyAlignment="1" applyProtection="1">
      <alignment horizontal="center" vertical="center" textRotation="90" wrapText="1"/>
      <protection hidden="1"/>
    </xf>
    <xf numFmtId="0" fontId="115" fillId="16" borderId="26" xfId="0" applyFont="1" applyFill="1" applyBorder="1" applyAlignment="1" applyProtection="1">
      <alignment horizontal="center" vertical="center" wrapText="1"/>
      <protection hidden="1"/>
    </xf>
    <xf numFmtId="0" fontId="115" fillId="16" borderId="67" xfId="0" applyFont="1" applyFill="1" applyBorder="1" applyAlignment="1" applyProtection="1">
      <alignment horizontal="center" vertical="center" wrapText="1"/>
      <protection hidden="1"/>
    </xf>
    <xf numFmtId="0" fontId="146" fillId="3" borderId="63" xfId="0" applyFont="1" applyFill="1" applyBorder="1" applyAlignment="1" applyProtection="1">
      <alignment horizontal="center" vertical="center" wrapText="1"/>
      <protection hidden="1"/>
    </xf>
    <xf numFmtId="0" fontId="146" fillId="3" borderId="64" xfId="0" applyFont="1" applyFill="1" applyBorder="1" applyAlignment="1" applyProtection="1">
      <alignment horizontal="center" vertical="center" wrapText="1"/>
      <protection hidden="1"/>
    </xf>
    <xf numFmtId="0" fontId="146" fillId="3" borderId="65" xfId="0" applyFont="1" applyFill="1" applyBorder="1" applyAlignment="1" applyProtection="1">
      <alignment horizontal="center" vertical="center" wrapText="1"/>
      <protection hidden="1"/>
    </xf>
    <xf numFmtId="0" fontId="146" fillId="3" borderId="66" xfId="0" applyFont="1" applyFill="1" applyBorder="1" applyAlignment="1" applyProtection="1">
      <alignment horizontal="center" vertical="center" wrapText="1"/>
      <protection hidden="1"/>
    </xf>
    <xf numFmtId="0" fontId="146" fillId="3" borderId="20" xfId="0" applyFont="1" applyFill="1" applyBorder="1" applyAlignment="1" applyProtection="1">
      <alignment horizontal="center" vertical="center" wrapText="1"/>
      <protection hidden="1"/>
    </xf>
    <xf numFmtId="0" fontId="114" fillId="8" borderId="68" xfId="0" applyFont="1" applyFill="1" applyBorder="1" applyAlignment="1" applyProtection="1">
      <alignment horizontal="center" vertical="center" wrapText="1"/>
      <protection hidden="1"/>
    </xf>
    <xf numFmtId="0" fontId="115" fillId="16" borderId="20" xfId="0" applyFont="1" applyFill="1" applyBorder="1" applyAlignment="1" applyProtection="1">
      <alignment horizontal="center" vertical="center" wrapText="1"/>
      <protection hidden="1"/>
    </xf>
    <xf numFmtId="0" fontId="115" fillId="16" borderId="68" xfId="0" applyFont="1" applyFill="1" applyBorder="1" applyAlignment="1" applyProtection="1">
      <alignment horizontal="center" vertical="center" wrapText="1"/>
      <protection hidden="1"/>
    </xf>
    <xf numFmtId="0" fontId="115" fillId="16" borderId="63" xfId="0" applyFont="1" applyFill="1" applyBorder="1" applyAlignment="1" applyProtection="1">
      <alignment horizontal="center" vertical="center" wrapText="1"/>
      <protection hidden="1"/>
    </xf>
    <xf numFmtId="0" fontId="115" fillId="16" borderId="64" xfId="0" applyFont="1" applyFill="1" applyBorder="1" applyAlignment="1" applyProtection="1">
      <alignment horizontal="center" vertical="center" wrapText="1"/>
      <protection hidden="1"/>
    </xf>
    <xf numFmtId="0" fontId="115" fillId="16" borderId="65" xfId="0" applyFont="1" applyFill="1" applyBorder="1" applyAlignment="1" applyProtection="1">
      <alignment horizontal="center" vertical="center" wrapText="1"/>
      <protection hidden="1"/>
    </xf>
    <xf numFmtId="0" fontId="115" fillId="16" borderId="66" xfId="0" applyFont="1" applyFill="1" applyBorder="1" applyAlignment="1" applyProtection="1">
      <alignment horizontal="center" vertical="center" wrapText="1"/>
      <protection hidden="1"/>
    </xf>
    <xf numFmtId="0" fontId="141" fillId="18" borderId="50" xfId="0" applyFont="1" applyFill="1" applyBorder="1" applyAlignment="1" applyProtection="1">
      <alignment horizontal="center" vertical="center" wrapText="1"/>
      <protection hidden="1"/>
    </xf>
    <xf numFmtId="0" fontId="141" fillId="18" borderId="61" xfId="0" applyFont="1" applyFill="1" applyBorder="1" applyAlignment="1" applyProtection="1">
      <alignment horizontal="center" vertical="center" wrapText="1"/>
      <protection hidden="1"/>
    </xf>
    <xf numFmtId="0" fontId="141" fillId="18" borderId="62" xfId="0" applyFont="1" applyFill="1" applyBorder="1" applyAlignment="1" applyProtection="1">
      <alignment horizontal="center" vertical="center" wrapText="1"/>
      <protection hidden="1"/>
    </xf>
    <xf numFmtId="0" fontId="141" fillId="18" borderId="18" xfId="0" applyFont="1" applyFill="1" applyBorder="1" applyAlignment="1" applyProtection="1">
      <alignment horizontal="center" vertical="center" textRotation="90" wrapText="1"/>
      <protection hidden="1"/>
    </xf>
    <xf numFmtId="0" fontId="141" fillId="18" borderId="26" xfId="0" applyFont="1" applyFill="1" applyBorder="1" applyAlignment="1" applyProtection="1">
      <alignment horizontal="center" vertical="center" textRotation="90" wrapText="1"/>
      <protection hidden="1"/>
    </xf>
    <xf numFmtId="0" fontId="141" fillId="18" borderId="67" xfId="0" applyFont="1" applyFill="1" applyBorder="1" applyAlignment="1" applyProtection="1">
      <alignment horizontal="center" vertical="center" textRotation="90" wrapText="1"/>
      <protection hidden="1"/>
    </xf>
    <xf numFmtId="0" fontId="112" fillId="18" borderId="63" xfId="0" applyFont="1" applyFill="1" applyBorder="1" applyAlignment="1" applyProtection="1">
      <alignment horizontal="center" vertical="center" wrapText="1"/>
      <protection hidden="1"/>
    </xf>
    <xf numFmtId="0" fontId="112" fillId="18" borderId="64" xfId="0" applyFont="1" applyFill="1" applyBorder="1" applyAlignment="1" applyProtection="1">
      <alignment horizontal="center" vertical="center" wrapText="1"/>
      <protection hidden="1"/>
    </xf>
    <xf numFmtId="0" fontId="112" fillId="18" borderId="65" xfId="0" applyFont="1" applyFill="1" applyBorder="1" applyAlignment="1" applyProtection="1">
      <alignment horizontal="center" vertical="center" wrapText="1"/>
      <protection hidden="1"/>
    </xf>
    <xf numFmtId="0" fontId="112" fillId="18" borderId="66" xfId="0" applyFont="1" applyFill="1" applyBorder="1" applyAlignment="1" applyProtection="1">
      <alignment horizontal="center" vertical="center" wrapText="1"/>
      <protection hidden="1"/>
    </xf>
    <xf numFmtId="0" fontId="112" fillId="18" borderId="19" xfId="0" applyFont="1" applyFill="1" applyBorder="1" applyAlignment="1" applyProtection="1">
      <alignment horizontal="center" vertical="center" wrapText="1"/>
      <protection hidden="1"/>
    </xf>
    <xf numFmtId="0" fontId="112" fillId="18" borderId="20" xfId="0" applyFont="1" applyFill="1" applyBorder="1" applyAlignment="1" applyProtection="1">
      <alignment horizontal="center" vertical="center" wrapText="1"/>
      <protection hidden="1"/>
    </xf>
    <xf numFmtId="0" fontId="112" fillId="18" borderId="17" xfId="0" applyFont="1" applyFill="1" applyBorder="1" applyAlignment="1" applyProtection="1">
      <alignment horizontal="center" vertical="center" wrapText="1"/>
      <protection hidden="1"/>
    </xf>
    <xf numFmtId="0" fontId="127" fillId="4" borderId="43" xfId="0" applyFont="1" applyFill="1" applyBorder="1" applyAlignment="1" applyProtection="1">
      <alignment horizontal="center" vertical="center" wrapText="1"/>
      <protection hidden="1"/>
    </xf>
    <xf numFmtId="0" fontId="127" fillId="4" borderId="15" xfId="0" applyFont="1" applyFill="1" applyBorder="1" applyAlignment="1" applyProtection="1">
      <alignment horizontal="center" vertical="center" textRotation="90" wrapText="1"/>
      <protection hidden="1"/>
    </xf>
    <xf numFmtId="0" fontId="146" fillId="3" borderId="68" xfId="0" applyFont="1" applyFill="1" applyBorder="1" applyAlignment="1" applyProtection="1">
      <alignment horizontal="center" vertical="center" wrapText="1"/>
      <protection hidden="1"/>
    </xf>
    <xf numFmtId="0" fontId="146" fillId="3" borderId="18" xfId="0" applyFont="1" applyFill="1" applyBorder="1" applyAlignment="1" applyProtection="1">
      <alignment horizontal="center" vertical="center" wrapText="1"/>
      <protection hidden="1"/>
    </xf>
    <xf numFmtId="0" fontId="146" fillId="3" borderId="67" xfId="0" applyFont="1" applyFill="1" applyBorder="1" applyAlignment="1" applyProtection="1">
      <alignment horizontal="center" vertical="center" wrapText="1"/>
      <protection hidden="1"/>
    </xf>
    <xf numFmtId="0" fontId="109" fillId="4" borderId="68" xfId="0" applyFont="1" applyFill="1" applyBorder="1" applyAlignment="1" applyProtection="1">
      <alignment horizontal="center" vertical="center" wrapText="1"/>
      <protection hidden="1"/>
    </xf>
    <xf numFmtId="0" fontId="83" fillId="4" borderId="47" xfId="0" applyFont="1" applyFill="1" applyBorder="1" applyAlignment="1" applyProtection="1">
      <alignment horizontal="center" vertical="center"/>
      <protection hidden="1"/>
    </xf>
    <xf numFmtId="0" fontId="83" fillId="4" borderId="48" xfId="0" applyFont="1" applyFill="1" applyBorder="1" applyAlignment="1" applyProtection="1">
      <alignment horizontal="center" vertical="center"/>
      <protection hidden="1"/>
    </xf>
    <xf numFmtId="0" fontId="83" fillId="4" borderId="49" xfId="0" applyFont="1" applyFill="1" applyBorder="1" applyAlignment="1" applyProtection="1">
      <alignment horizontal="center" vertical="center"/>
      <protection hidden="1"/>
    </xf>
    <xf numFmtId="0" fontId="83" fillId="8" borderId="47" xfId="0" applyFont="1" applyFill="1" applyBorder="1" applyAlignment="1" applyProtection="1">
      <alignment horizontal="center" vertical="center"/>
      <protection hidden="1"/>
    </xf>
    <xf numFmtId="0" fontId="83" fillId="8" borderId="48" xfId="0" applyFont="1" applyFill="1" applyBorder="1" applyAlignment="1" applyProtection="1">
      <alignment horizontal="center" vertical="center"/>
      <protection hidden="1"/>
    </xf>
    <xf numFmtId="0" fontId="83" fillId="8" borderId="49" xfId="0" applyFont="1" applyFill="1" applyBorder="1" applyAlignment="1" applyProtection="1">
      <alignment horizontal="center" vertical="center"/>
      <protection hidden="1"/>
    </xf>
    <xf numFmtId="0" fontId="83" fillId="16" borderId="47" xfId="0" applyFont="1" applyFill="1" applyBorder="1" applyAlignment="1" applyProtection="1">
      <alignment horizontal="center" vertical="center"/>
      <protection hidden="1"/>
    </xf>
    <xf numFmtId="0" fontId="83" fillId="16" borderId="48" xfId="0" applyFont="1" applyFill="1" applyBorder="1" applyAlignment="1" applyProtection="1">
      <alignment horizontal="center" vertical="center"/>
      <protection hidden="1"/>
    </xf>
    <xf numFmtId="0" fontId="83" fillId="16" borderId="49" xfId="0" applyFont="1" applyFill="1" applyBorder="1" applyAlignment="1" applyProtection="1">
      <alignment horizontal="center" vertical="center"/>
      <protection hidden="1"/>
    </xf>
    <xf numFmtId="0" fontId="83" fillId="18" borderId="47" xfId="0" applyFont="1" applyFill="1" applyBorder="1" applyAlignment="1" applyProtection="1">
      <alignment horizontal="center" vertical="center"/>
      <protection hidden="1"/>
    </xf>
    <xf numFmtId="0" fontId="83" fillId="18" borderId="48" xfId="0" applyFont="1" applyFill="1" applyBorder="1" applyAlignment="1" applyProtection="1">
      <alignment horizontal="center" vertical="center"/>
      <protection hidden="1"/>
    </xf>
    <xf numFmtId="0" fontId="83" fillId="18" borderId="49" xfId="0" applyFont="1" applyFill="1" applyBorder="1" applyAlignment="1" applyProtection="1">
      <alignment horizontal="center" vertical="center"/>
      <protection hidden="1"/>
    </xf>
    <xf numFmtId="0" fontId="83" fillId="3" borderId="47" xfId="0" applyFont="1" applyFill="1" applyBorder="1" applyAlignment="1" applyProtection="1">
      <alignment horizontal="center" vertical="center"/>
      <protection hidden="1"/>
    </xf>
    <xf numFmtId="0" fontId="83" fillId="3" borderId="48" xfId="0" applyFont="1" applyFill="1" applyBorder="1" applyAlignment="1" applyProtection="1">
      <alignment horizontal="center" vertical="center"/>
      <protection hidden="1"/>
    </xf>
    <xf numFmtId="0" fontId="83" fillId="3" borderId="49" xfId="0" applyFont="1" applyFill="1" applyBorder="1" applyAlignment="1" applyProtection="1">
      <alignment horizontal="center" vertical="center"/>
      <protection hidden="1"/>
    </xf>
    <xf numFmtId="0" fontId="112" fillId="18" borderId="68" xfId="0" applyFont="1" applyFill="1" applyBorder="1" applyAlignment="1" applyProtection="1">
      <alignment horizontal="center" vertical="center" wrapText="1"/>
      <protection hidden="1"/>
    </xf>
    <xf numFmtId="0" fontId="145" fillId="3" borderId="50" xfId="0" applyFont="1" applyFill="1" applyBorder="1" applyAlignment="1" applyProtection="1">
      <alignment horizontal="center" vertical="center" wrapText="1"/>
      <protection hidden="1"/>
    </xf>
    <xf numFmtId="0" fontId="145" fillId="3" borderId="61" xfId="0" applyFont="1" applyFill="1" applyBorder="1" applyAlignment="1" applyProtection="1">
      <alignment horizontal="center" vertical="center" wrapText="1"/>
      <protection hidden="1"/>
    </xf>
    <xf numFmtId="0" fontId="145" fillId="3" borderId="62" xfId="0" applyFont="1" applyFill="1" applyBorder="1" applyAlignment="1" applyProtection="1">
      <alignment horizontal="center" vertical="center" wrapText="1"/>
      <protection hidden="1"/>
    </xf>
    <xf numFmtId="0" fontId="145" fillId="3" borderId="18" xfId="0" applyFont="1" applyFill="1" applyBorder="1" applyAlignment="1" applyProtection="1">
      <alignment horizontal="center" vertical="center" textRotation="90" wrapText="1"/>
      <protection hidden="1"/>
    </xf>
    <xf numFmtId="0" fontId="145" fillId="3" borderId="26" xfId="0" applyFont="1" applyFill="1" applyBorder="1" applyAlignment="1" applyProtection="1">
      <alignment horizontal="center" vertical="center" textRotation="90" wrapText="1"/>
      <protection hidden="1"/>
    </xf>
    <xf numFmtId="0" fontId="145" fillId="3" borderId="67" xfId="0" applyFont="1" applyFill="1" applyBorder="1" applyAlignment="1" applyProtection="1">
      <alignment horizontal="center" vertical="center" textRotation="90" wrapText="1"/>
      <protection hidden="1"/>
    </xf>
    <xf numFmtId="0" fontId="146" fillId="3" borderId="26" xfId="0" applyFont="1" applyFill="1" applyBorder="1" applyAlignment="1" applyProtection="1">
      <alignment horizontal="center" vertical="center" wrapText="1"/>
      <protection hidden="1"/>
    </xf>
    <xf numFmtId="0" fontId="147" fillId="3" borderId="63" xfId="0" applyFont="1" applyFill="1" applyBorder="1" applyAlignment="1" applyProtection="1">
      <alignment horizontal="center" vertical="center" wrapText="1"/>
      <protection hidden="1"/>
    </xf>
    <xf numFmtId="0" fontId="147" fillId="3" borderId="64" xfId="0" applyFont="1" applyFill="1" applyBorder="1" applyAlignment="1" applyProtection="1">
      <alignment horizontal="center" vertical="center" wrapText="1"/>
      <protection hidden="1"/>
    </xf>
    <xf numFmtId="0" fontId="147" fillId="3" borderId="65" xfId="0" applyFont="1" applyFill="1" applyBorder="1" applyAlignment="1" applyProtection="1">
      <alignment horizontal="center" vertical="center" wrapText="1"/>
      <protection hidden="1"/>
    </xf>
    <xf numFmtId="0" fontId="147" fillId="3" borderId="66" xfId="0" applyFont="1" applyFill="1" applyBorder="1" applyAlignment="1" applyProtection="1">
      <alignment horizontal="center" vertical="center" wrapText="1"/>
      <protection hidden="1"/>
    </xf>
    <xf numFmtId="0" fontId="109" fillId="4" borderId="44" xfId="0" applyFont="1" applyFill="1" applyBorder="1" applyAlignment="1" applyProtection="1">
      <alignment horizontal="center" vertical="center" wrapText="1"/>
      <protection hidden="1"/>
    </xf>
    <xf numFmtId="0" fontId="114" fillId="8" borderId="15" xfId="0" applyFont="1" applyFill="1" applyBorder="1" applyAlignment="1" applyProtection="1">
      <alignment horizontal="center" vertical="center" wrapText="1"/>
      <protection hidden="1"/>
    </xf>
    <xf numFmtId="0" fontId="114" fillId="8" borderId="44" xfId="0" applyFont="1" applyFill="1" applyBorder="1" applyAlignment="1" applyProtection="1">
      <alignment horizontal="center" vertical="center" wrapText="1"/>
      <protection hidden="1"/>
    </xf>
    <xf numFmtId="0" fontId="115" fillId="16" borderId="44" xfId="0" applyFont="1" applyFill="1" applyBorder="1" applyAlignment="1" applyProtection="1">
      <alignment horizontal="center" vertical="center" wrapText="1"/>
      <protection hidden="1"/>
    </xf>
    <xf numFmtId="0" fontId="112" fillId="18" borderId="44" xfId="0" applyFont="1" applyFill="1" applyBorder="1" applyAlignment="1" applyProtection="1">
      <alignment horizontal="center" vertical="center" wrapText="1"/>
      <protection hidden="1"/>
    </xf>
    <xf numFmtId="0" fontId="146" fillId="3" borderId="15" xfId="0" applyFont="1" applyFill="1" applyBorder="1" applyAlignment="1" applyProtection="1">
      <alignment horizontal="center" vertical="center" wrapText="1"/>
      <protection hidden="1"/>
    </xf>
    <xf numFmtId="0" fontId="146" fillId="3" borderId="44" xfId="0" applyFont="1" applyFill="1" applyBorder="1" applyAlignment="1" applyProtection="1">
      <alignment horizontal="center" vertical="center" wrapText="1"/>
      <protection hidden="1"/>
    </xf>
    <xf numFmtId="0" fontId="141" fillId="18" borderId="43" xfId="0" applyFont="1" applyFill="1" applyBorder="1" applyAlignment="1" applyProtection="1">
      <alignment horizontal="center" vertical="center" wrapText="1"/>
      <protection hidden="1"/>
    </xf>
    <xf numFmtId="0" fontId="141" fillId="18" borderId="15" xfId="0" applyFont="1" applyFill="1" applyBorder="1" applyAlignment="1" applyProtection="1">
      <alignment horizontal="center" vertical="center" textRotation="90" wrapText="1"/>
      <protection hidden="1"/>
    </xf>
    <xf numFmtId="0" fontId="128" fillId="4" borderId="15" xfId="0" applyFont="1" applyFill="1" applyBorder="1" applyAlignment="1" applyProtection="1">
      <alignment horizontal="center" vertical="center" wrapText="1"/>
      <protection hidden="1"/>
    </xf>
    <xf numFmtId="0" fontId="131" fillId="8" borderId="15" xfId="0" applyFont="1" applyFill="1" applyBorder="1" applyAlignment="1" applyProtection="1">
      <alignment horizontal="center" vertical="center" textRotation="90" wrapText="1"/>
      <protection hidden="1"/>
    </xf>
    <xf numFmtId="0" fontId="132" fillId="8" borderId="15" xfId="0" applyFont="1" applyFill="1" applyBorder="1" applyAlignment="1" applyProtection="1">
      <alignment horizontal="center" vertical="center" wrapText="1"/>
      <protection hidden="1"/>
    </xf>
    <xf numFmtId="0" fontId="131" fillId="8" borderId="43" xfId="0" applyFont="1" applyFill="1" applyBorder="1" applyAlignment="1" applyProtection="1">
      <alignment horizontal="center" vertical="center" wrapText="1"/>
      <protection hidden="1"/>
    </xf>
    <xf numFmtId="0" fontId="142" fillId="18" borderId="15" xfId="0" applyFont="1" applyFill="1" applyBorder="1" applyAlignment="1" applyProtection="1">
      <alignment horizontal="center" vertical="center" wrapText="1"/>
      <protection hidden="1"/>
    </xf>
    <xf numFmtId="0" fontId="145" fillId="3" borderId="43" xfId="0" applyFont="1" applyFill="1" applyBorder="1" applyAlignment="1" applyProtection="1">
      <alignment horizontal="center" vertical="center" wrapText="1"/>
      <protection hidden="1"/>
    </xf>
    <xf numFmtId="0" fontId="145" fillId="3" borderId="15" xfId="0" applyFont="1" applyFill="1" applyBorder="1" applyAlignment="1" applyProtection="1">
      <alignment horizontal="center" vertical="center" textRotation="90" wrapText="1"/>
      <protection hidden="1"/>
    </xf>
    <xf numFmtId="0" fontId="147" fillId="3" borderId="15" xfId="0" applyFont="1" applyFill="1" applyBorder="1" applyAlignment="1" applyProtection="1">
      <alignment horizontal="center" vertical="center" wrapText="1"/>
      <protection hidden="1"/>
    </xf>
    <xf numFmtId="0" fontId="89" fillId="2" borderId="15" xfId="0" applyFont="1" applyFill="1" applyBorder="1" applyAlignment="1" applyProtection="1">
      <alignment horizontal="center" vertical="center" wrapText="1"/>
      <protection hidden="1"/>
    </xf>
    <xf numFmtId="0" fontId="99" fillId="2" borderId="52" xfId="0" applyFont="1" applyFill="1" applyBorder="1" applyAlignment="1" applyProtection="1">
      <alignment horizontal="center" vertical="center" wrapText="1"/>
      <protection hidden="1"/>
    </xf>
    <xf numFmtId="0" fontId="99" fillId="2" borderId="0" xfId="0" applyFont="1" applyFill="1" applyBorder="1" applyAlignment="1" applyProtection="1">
      <alignment horizontal="center" vertical="center" wrapText="1"/>
      <protection hidden="1"/>
    </xf>
    <xf numFmtId="0" fontId="175" fillId="2" borderId="52" xfId="0" applyFont="1" applyFill="1" applyBorder="1" applyAlignment="1" applyProtection="1">
      <alignment horizontal="center" vertical="center" wrapText="1"/>
      <protection hidden="1"/>
    </xf>
    <xf numFmtId="0" fontId="175" fillId="2" borderId="0" xfId="0" applyFont="1" applyFill="1" applyBorder="1" applyAlignment="1" applyProtection="1">
      <alignment horizontal="center" vertical="center" wrapText="1"/>
      <protection hidden="1"/>
    </xf>
    <xf numFmtId="0" fontId="62" fillId="2" borderId="15" xfId="0" applyFont="1" applyFill="1" applyBorder="1" applyAlignment="1" applyProtection="1">
      <alignment horizontal="center" vertical="center" wrapText="1"/>
      <protection hidden="1"/>
    </xf>
    <xf numFmtId="0" fontId="97" fillId="2" borderId="18" xfId="0" applyFont="1" applyFill="1" applyBorder="1" applyAlignment="1" applyProtection="1">
      <alignment horizontal="center" vertical="center" wrapText="1"/>
      <protection hidden="1"/>
    </xf>
    <xf numFmtId="0" fontId="97" fillId="2" borderId="26" xfId="0" applyFont="1" applyFill="1" applyBorder="1" applyAlignment="1" applyProtection="1">
      <alignment horizontal="center" vertical="center" wrapText="1"/>
      <protection hidden="1"/>
    </xf>
    <xf numFmtId="0" fontId="97" fillId="2" borderId="27" xfId="0" applyFont="1" applyFill="1" applyBorder="1" applyAlignment="1" applyProtection="1">
      <alignment horizontal="center" vertical="center" wrapText="1"/>
      <protection hidden="1"/>
    </xf>
    <xf numFmtId="0" fontId="90" fillId="2" borderId="15" xfId="0" applyFont="1" applyFill="1" applyBorder="1" applyAlignment="1" applyProtection="1">
      <alignment horizontal="center" vertical="center"/>
      <protection hidden="1"/>
    </xf>
    <xf numFmtId="0" fontId="89" fillId="2" borderId="17" xfId="0" applyFont="1" applyFill="1" applyBorder="1" applyAlignment="1" applyProtection="1">
      <alignment horizontal="center" vertical="center" wrapText="1"/>
      <protection hidden="1"/>
    </xf>
    <xf numFmtId="0" fontId="62" fillId="2" borderId="15" xfId="0" applyFont="1" applyFill="1" applyBorder="1" applyAlignment="1" applyProtection="1">
      <alignment horizontal="center" vertical="center"/>
      <protection hidden="1"/>
    </xf>
    <xf numFmtId="0" fontId="94" fillId="2" borderId="15" xfId="0" applyFont="1" applyFill="1" applyBorder="1" applyAlignment="1" applyProtection="1">
      <alignment horizontal="center" vertical="center"/>
      <protection hidden="1"/>
    </xf>
    <xf numFmtId="0" fontId="92" fillId="2" borderId="15" xfId="0" applyFont="1" applyFill="1" applyBorder="1" applyAlignment="1" applyProtection="1">
      <alignment horizontal="center" vertical="center" wrapText="1"/>
      <protection hidden="1"/>
    </xf>
    <xf numFmtId="0" fontId="91" fillId="2" borderId="19" xfId="0" applyFont="1" applyFill="1" applyBorder="1" applyAlignment="1" applyProtection="1">
      <alignment horizontal="center" vertical="center"/>
      <protection hidden="1"/>
    </xf>
    <xf numFmtId="0" fontId="91" fillId="2" borderId="20" xfId="0" applyFont="1" applyFill="1" applyBorder="1" applyAlignment="1" applyProtection="1">
      <alignment horizontal="center" vertical="center"/>
      <protection hidden="1"/>
    </xf>
    <xf numFmtId="0" fontId="91" fillId="2" borderId="17" xfId="0" applyFont="1" applyFill="1" applyBorder="1" applyAlignment="1" applyProtection="1">
      <alignment horizontal="center" vertical="center"/>
      <protection hidden="1"/>
    </xf>
    <xf numFmtId="0" fontId="91" fillId="2" borderId="18" xfId="0" applyFont="1" applyFill="1" applyBorder="1" applyAlignment="1" applyProtection="1">
      <alignment horizontal="center" vertical="center"/>
      <protection hidden="1"/>
    </xf>
    <xf numFmtId="0" fontId="91" fillId="2" borderId="27" xfId="0" applyFont="1" applyFill="1" applyBorder="1" applyAlignment="1" applyProtection="1">
      <alignment horizontal="center" vertical="center"/>
      <protection hidden="1"/>
    </xf>
    <xf numFmtId="0" fontId="93" fillId="2" borderId="19" xfId="0" applyFont="1" applyFill="1" applyBorder="1" applyAlignment="1" applyProtection="1">
      <alignment horizontal="center" vertical="center"/>
      <protection hidden="1"/>
    </xf>
    <xf numFmtId="0" fontId="93" fillId="2" borderId="17" xfId="0" applyFont="1" applyFill="1" applyBorder="1" applyAlignment="1" applyProtection="1">
      <alignment horizontal="center" vertical="center"/>
      <protection hidden="1"/>
    </xf>
    <xf numFmtId="0" fontId="95" fillId="2" borderId="15" xfId="0" applyFont="1" applyFill="1" applyBorder="1" applyAlignment="1" applyProtection="1">
      <alignment horizontal="center" vertical="center"/>
      <protection hidden="1"/>
    </xf>
    <xf numFmtId="0" fontId="96" fillId="2" borderId="15" xfId="0" applyFont="1" applyFill="1" applyBorder="1" applyAlignment="1" applyProtection="1">
      <alignment horizontal="center" vertical="center" wrapText="1"/>
      <protection hidden="1"/>
    </xf>
    <xf numFmtId="0" fontId="96" fillId="2" borderId="15" xfId="0" applyFont="1" applyFill="1" applyBorder="1" applyAlignment="1" applyProtection="1">
      <alignment horizontal="center" vertical="center"/>
      <protection hidden="1"/>
    </xf>
    <xf numFmtId="0" fontId="15" fillId="2" borderId="15" xfId="0" applyFont="1" applyFill="1" applyBorder="1" applyAlignment="1" applyProtection="1">
      <alignment horizontal="center" vertical="center"/>
      <protection hidden="1"/>
    </xf>
    <xf numFmtId="0" fontId="78" fillId="2" borderId="15" xfId="0" applyFont="1" applyFill="1" applyBorder="1" applyAlignment="1" applyProtection="1">
      <alignment horizontal="center" vertical="center"/>
      <protection hidden="1"/>
    </xf>
    <xf numFmtId="49" fontId="79" fillId="2" borderId="15" xfId="0" applyNumberFormat="1" applyFont="1" applyFill="1" applyBorder="1" applyAlignment="1" applyProtection="1">
      <alignment horizontal="center" vertical="center" wrapText="1"/>
      <protection hidden="1"/>
    </xf>
    <xf numFmtId="0" fontId="84" fillId="2" borderId="15" xfId="0" applyFont="1" applyFill="1" applyBorder="1" applyAlignment="1" applyProtection="1">
      <alignment horizontal="center" vertical="center" wrapText="1"/>
      <protection hidden="1"/>
    </xf>
    <xf numFmtId="0" fontId="78" fillId="2" borderId="15" xfId="0" applyFont="1" applyFill="1" applyBorder="1" applyAlignment="1" applyProtection="1">
      <alignment horizontal="center" vertical="center" wrapText="1"/>
      <protection hidden="1"/>
    </xf>
    <xf numFmtId="0" fontId="69" fillId="2" borderId="15" xfId="0" applyFont="1" applyFill="1" applyBorder="1" applyAlignment="1" applyProtection="1">
      <alignment horizontal="center" vertical="center" wrapText="1"/>
      <protection hidden="1"/>
    </xf>
    <xf numFmtId="0" fontId="79" fillId="2" borderId="15" xfId="0" applyFont="1" applyFill="1" applyBorder="1" applyAlignment="1" applyProtection="1">
      <alignment horizontal="center" vertical="center" wrapText="1"/>
      <protection hidden="1"/>
    </xf>
    <xf numFmtId="49" fontId="78" fillId="2" borderId="15" xfId="0" applyNumberFormat="1" applyFont="1" applyFill="1" applyBorder="1" applyAlignment="1" applyProtection="1">
      <alignment horizontal="center" vertical="center" wrapText="1"/>
      <protection hidden="1"/>
    </xf>
    <xf numFmtId="0" fontId="84" fillId="2" borderId="15" xfId="0" applyFont="1" applyFill="1" applyBorder="1" applyAlignment="1" applyProtection="1">
      <alignment horizontal="center" vertical="center"/>
      <protection hidden="1"/>
    </xf>
    <xf numFmtId="49" fontId="69" fillId="2" borderId="15" xfId="0" applyNumberFormat="1" applyFont="1" applyFill="1" applyBorder="1" applyAlignment="1" applyProtection="1">
      <alignment horizontal="center" vertical="center" wrapText="1"/>
      <protection hidden="1"/>
    </xf>
    <xf numFmtId="49" fontId="83" fillId="2" borderId="18" xfId="0" applyNumberFormat="1" applyFont="1" applyFill="1" applyBorder="1" applyAlignment="1" applyProtection="1">
      <alignment horizontal="center" vertical="center"/>
      <protection hidden="1"/>
    </xf>
    <xf numFmtId="49" fontId="83" fillId="2" borderId="27" xfId="0" applyNumberFormat="1" applyFont="1" applyFill="1" applyBorder="1" applyAlignment="1" applyProtection="1">
      <alignment horizontal="center" vertical="center"/>
      <protection hidden="1"/>
    </xf>
    <xf numFmtId="0" fontId="83" fillId="2" borderId="18" xfId="0" applyFont="1" applyFill="1" applyBorder="1" applyAlignment="1" applyProtection="1">
      <alignment horizontal="center" vertical="center"/>
      <protection hidden="1"/>
    </xf>
    <xf numFmtId="0" fontId="83" fillId="2" borderId="27" xfId="0" applyFont="1" applyFill="1" applyBorder="1" applyAlignment="1" applyProtection="1">
      <alignment horizontal="center" vertical="center"/>
      <protection hidden="1"/>
    </xf>
    <xf numFmtId="0" fontId="176" fillId="0" borderId="53" xfId="0" applyFont="1" applyBorder="1" applyAlignment="1" applyProtection="1">
      <alignment horizontal="right" vertical="center"/>
      <protection hidden="1"/>
    </xf>
    <xf numFmtId="0" fontId="79" fillId="2" borderId="15" xfId="0" applyFont="1" applyFill="1" applyBorder="1" applyAlignment="1" applyProtection="1">
      <alignment horizontal="center" vertical="center"/>
      <protection hidden="1"/>
    </xf>
    <xf numFmtId="49" fontId="84" fillId="2" borderId="15" xfId="0" applyNumberFormat="1" applyFont="1" applyFill="1" applyBorder="1" applyAlignment="1" applyProtection="1">
      <alignment horizontal="center" vertical="center" wrapText="1"/>
      <protection hidden="1"/>
    </xf>
    <xf numFmtId="0" fontId="83" fillId="2" borderId="15" xfId="0" applyFont="1" applyFill="1" applyBorder="1" applyAlignment="1" applyProtection="1">
      <alignment horizontal="right" vertical="center"/>
      <protection hidden="1"/>
    </xf>
    <xf numFmtId="0" fontId="0" fillId="0" borderId="0" xfId="0" applyAlignment="1" applyProtection="1">
      <alignment horizontal="center"/>
      <protection hidden="1"/>
    </xf>
    <xf numFmtId="0" fontId="14" fillId="2" borderId="15" xfId="0" applyFont="1" applyFill="1" applyBorder="1" applyAlignment="1" applyProtection="1">
      <alignment horizontal="center" vertical="center"/>
      <protection hidden="1"/>
    </xf>
    <xf numFmtId="0" fontId="16" fillId="9" borderId="15" xfId="0" applyFont="1" applyFill="1" applyBorder="1" applyAlignment="1" applyProtection="1">
      <alignment horizontal="center" vertical="center"/>
      <protection hidden="1"/>
    </xf>
    <xf numFmtId="0" fontId="17" fillId="9" borderId="15" xfId="0" applyFont="1" applyFill="1" applyBorder="1" applyAlignment="1" applyProtection="1">
      <alignment horizontal="center" vertical="center" wrapText="1"/>
      <protection hidden="1"/>
    </xf>
    <xf numFmtId="0" fontId="7" fillId="2" borderId="15" xfId="0" applyFont="1" applyFill="1" applyBorder="1" applyAlignment="1" applyProtection="1">
      <alignment horizontal="center" vertical="center" wrapText="1"/>
      <protection hidden="1"/>
    </xf>
    <xf numFmtId="0" fontId="10" fillId="0" borderId="9" xfId="0" applyFont="1" applyFill="1" applyBorder="1" applyAlignment="1" applyProtection="1">
      <alignment horizontal="left" vertical="center"/>
      <protection hidden="1"/>
    </xf>
    <xf numFmtId="0" fontId="10" fillId="0" borderId="10" xfId="0" applyFont="1" applyFill="1" applyBorder="1" applyAlignment="1" applyProtection="1">
      <alignment horizontal="left" vertical="center"/>
      <protection hidden="1"/>
    </xf>
    <xf numFmtId="0" fontId="30" fillId="0" borderId="1" xfId="0" applyFont="1" applyFill="1" applyBorder="1" applyAlignment="1" applyProtection="1">
      <alignment horizontal="center" vertical="center" wrapText="1"/>
      <protection hidden="1"/>
    </xf>
    <xf numFmtId="0" fontId="57" fillId="0" borderId="1" xfId="0" applyFont="1" applyFill="1" applyBorder="1" applyAlignment="1" applyProtection="1">
      <alignment horizontal="center" vertical="center" wrapText="1"/>
      <protection hidden="1"/>
    </xf>
    <xf numFmtId="0" fontId="152" fillId="0" borderId="1" xfId="0" applyFont="1" applyFill="1" applyBorder="1" applyAlignment="1" applyProtection="1">
      <alignment horizontal="center" vertical="center" wrapText="1"/>
      <protection hidden="1"/>
    </xf>
    <xf numFmtId="0" fontId="167" fillId="0" borderId="1" xfId="0" applyFont="1" applyFill="1" applyBorder="1" applyAlignment="1" applyProtection="1">
      <alignment horizontal="center" vertical="center" textRotation="90" wrapText="1"/>
      <protection hidden="1"/>
    </xf>
    <xf numFmtId="0" fontId="166" fillId="0" borderId="16" xfId="0" applyFont="1" applyFill="1" applyBorder="1" applyAlignment="1" applyProtection="1">
      <alignment horizontal="center" vertical="center" textRotation="90" wrapText="1"/>
      <protection hidden="1"/>
    </xf>
    <xf numFmtId="0" fontId="166" fillId="0" borderId="2" xfId="0" applyFont="1" applyFill="1" applyBorder="1" applyAlignment="1" applyProtection="1">
      <alignment horizontal="center" vertical="center" textRotation="90" wrapText="1"/>
      <protection hidden="1"/>
    </xf>
    <xf numFmtId="0" fontId="57" fillId="0" borderId="9" xfId="0" applyFont="1" applyFill="1" applyBorder="1" applyAlignment="1" applyProtection="1">
      <alignment horizontal="center" vertical="center" wrapText="1"/>
      <protection hidden="1"/>
    </xf>
    <xf numFmtId="0" fontId="57" fillId="0" borderId="10" xfId="0" applyFont="1" applyFill="1" applyBorder="1" applyAlignment="1" applyProtection="1">
      <alignment horizontal="center" vertical="center" wrapText="1"/>
      <protection hidden="1"/>
    </xf>
    <xf numFmtId="0" fontId="57" fillId="0" borderId="13" xfId="0" applyFont="1" applyFill="1" applyBorder="1" applyAlignment="1" applyProtection="1">
      <alignment horizontal="center" vertical="center" wrapText="1"/>
      <protection hidden="1"/>
    </xf>
    <xf numFmtId="0" fontId="152" fillId="0" borderId="16" xfId="0" applyFont="1" applyFill="1" applyBorder="1" applyAlignment="1" applyProtection="1">
      <alignment horizontal="center" vertical="center"/>
      <protection hidden="1"/>
    </xf>
    <xf numFmtId="0" fontId="152" fillId="0" borderId="3" xfId="0" applyFont="1" applyFill="1" applyBorder="1" applyAlignment="1" applyProtection="1">
      <alignment horizontal="center" vertical="center"/>
      <protection hidden="1"/>
    </xf>
    <xf numFmtId="0" fontId="152" fillId="0" borderId="2" xfId="0" applyFont="1" applyFill="1" applyBorder="1" applyAlignment="1" applyProtection="1">
      <alignment horizontal="center" vertical="center"/>
      <protection hidden="1"/>
    </xf>
    <xf numFmtId="0" fontId="168" fillId="0" borderId="1" xfId="0" applyFont="1" applyFill="1" applyBorder="1" applyAlignment="1" applyProtection="1">
      <alignment horizontal="center" vertical="center" textRotation="90" wrapText="1"/>
      <protection hidden="1"/>
    </xf>
    <xf numFmtId="0" fontId="170" fillId="0" borderId="1" xfId="0" applyFont="1" applyFill="1" applyBorder="1" applyAlignment="1" applyProtection="1">
      <alignment horizontal="center" vertical="center" textRotation="90" wrapText="1"/>
      <protection hidden="1"/>
    </xf>
    <xf numFmtId="0" fontId="169" fillId="0" borderId="9" xfId="0" applyFont="1" applyFill="1" applyBorder="1" applyAlignment="1" applyProtection="1">
      <alignment horizontal="center" vertical="center"/>
      <protection hidden="1"/>
    </xf>
    <xf numFmtId="0" fontId="169" fillId="0" borderId="13" xfId="0" applyFont="1" applyFill="1" applyBorder="1" applyAlignment="1" applyProtection="1">
      <alignment horizontal="center" vertical="center"/>
      <protection hidden="1"/>
    </xf>
    <xf numFmtId="0" fontId="169" fillId="0" borderId="10" xfId="0" applyFont="1" applyFill="1" applyBorder="1" applyAlignment="1" applyProtection="1">
      <alignment horizontal="center" vertical="center"/>
      <protection hidden="1"/>
    </xf>
    <xf numFmtId="0" fontId="88" fillId="0" borderId="5" xfId="0" applyFont="1" applyFill="1" applyBorder="1" applyAlignment="1" applyProtection="1">
      <alignment horizontal="center" vertical="center" textRotation="90" wrapText="1"/>
      <protection hidden="1"/>
    </xf>
    <xf numFmtId="0" fontId="88" fillId="0" borderId="8" xfId="0" applyFont="1" applyFill="1" applyBorder="1" applyAlignment="1" applyProtection="1">
      <alignment horizontal="center" vertical="center" textRotation="90" wrapText="1"/>
      <protection hidden="1"/>
    </xf>
    <xf numFmtId="0" fontId="88" fillId="0" borderId="7" xfId="0" applyFont="1" applyFill="1" applyBorder="1" applyAlignment="1" applyProtection="1">
      <alignment horizontal="center" vertical="center" textRotation="90" wrapText="1"/>
      <protection hidden="1"/>
    </xf>
    <xf numFmtId="0" fontId="88" fillId="0" borderId="4" xfId="0" applyFont="1" applyFill="1" applyBorder="1" applyAlignment="1" applyProtection="1">
      <alignment horizontal="center" vertical="center" wrapText="1"/>
      <protection hidden="1"/>
    </xf>
    <xf numFmtId="0" fontId="88" fillId="0" borderId="11" xfId="0" applyFont="1" applyFill="1" applyBorder="1" applyAlignment="1" applyProtection="1">
      <alignment horizontal="center" vertical="center" wrapText="1"/>
      <protection hidden="1"/>
    </xf>
    <xf numFmtId="0" fontId="88" fillId="0" borderId="14" xfId="0" applyFont="1" applyFill="1" applyBorder="1" applyAlignment="1" applyProtection="1">
      <alignment horizontal="center" vertical="center" wrapText="1"/>
      <protection hidden="1"/>
    </xf>
    <xf numFmtId="0" fontId="88" fillId="0" borderId="0" xfId="0" applyFont="1" applyFill="1" applyBorder="1" applyAlignment="1" applyProtection="1">
      <alignment horizontal="center" vertical="center" wrapText="1"/>
      <protection hidden="1"/>
    </xf>
    <xf numFmtId="0" fontId="88" fillId="0" borderId="6" xfId="0" applyFont="1" applyFill="1" applyBorder="1" applyAlignment="1" applyProtection="1">
      <alignment horizontal="center" vertical="center" wrapText="1"/>
      <protection hidden="1"/>
    </xf>
    <xf numFmtId="0" fontId="88" fillId="0" borderId="12" xfId="0" applyFont="1" applyFill="1" applyBorder="1" applyAlignment="1" applyProtection="1">
      <alignment horizontal="center" vertical="center" wrapText="1"/>
      <protection hidden="1"/>
    </xf>
    <xf numFmtId="0" fontId="165" fillId="0" borderId="9" xfId="0" applyFont="1" applyFill="1" applyBorder="1" applyAlignment="1" applyProtection="1">
      <alignment horizontal="center" vertical="center"/>
      <protection hidden="1"/>
    </xf>
    <xf numFmtId="0" fontId="165" fillId="0" borderId="13" xfId="0" applyFont="1" applyFill="1" applyBorder="1" applyAlignment="1" applyProtection="1">
      <alignment horizontal="center" vertical="center"/>
      <protection hidden="1"/>
    </xf>
    <xf numFmtId="0" fontId="165" fillId="0" borderId="10" xfId="0" applyFont="1" applyFill="1" applyBorder="1" applyAlignment="1" applyProtection="1">
      <alignment horizontal="center" vertical="center"/>
      <protection hidden="1"/>
    </xf>
    <xf numFmtId="0" fontId="39" fillId="0" borderId="0" xfId="0" applyFont="1" applyAlignment="1" applyProtection="1">
      <alignment horizontal="center" vertical="center"/>
      <protection hidden="1"/>
    </xf>
    <xf numFmtId="0" fontId="39" fillId="0" borderId="0" xfId="0" applyFont="1" applyBorder="1" applyAlignment="1" applyProtection="1">
      <alignment horizontal="center" vertical="center"/>
      <protection hidden="1"/>
    </xf>
    <xf numFmtId="0" fontId="164" fillId="0" borderId="0" xfId="0" applyFont="1" applyBorder="1" applyAlignment="1" applyProtection="1">
      <alignment horizontal="center" vertical="center"/>
      <protection locked="0"/>
    </xf>
    <xf numFmtId="0" fontId="164" fillId="0" borderId="12" xfId="0" applyFont="1" applyBorder="1" applyAlignment="1" applyProtection="1">
      <alignment horizontal="center" vertical="center"/>
      <protection locked="0"/>
    </xf>
    <xf numFmtId="0" fontId="154" fillId="0" borderId="0" xfId="0" applyFont="1" applyAlignment="1" applyProtection="1">
      <alignment horizontal="center"/>
      <protection hidden="1"/>
    </xf>
    <xf numFmtId="0" fontId="129" fillId="0" borderId="1" xfId="0" applyFont="1" applyFill="1" applyBorder="1" applyAlignment="1" applyProtection="1">
      <alignment horizontal="center" vertical="center"/>
      <protection hidden="1"/>
    </xf>
    <xf numFmtId="0" fontId="164" fillId="0" borderId="0" xfId="0" applyFont="1" applyAlignment="1" applyProtection="1">
      <alignment horizontal="center" vertical="center"/>
      <protection locked="0"/>
    </xf>
    <xf numFmtId="0" fontId="172" fillId="0" borderId="1" xfId="0" applyFont="1" applyBorder="1" applyAlignment="1" applyProtection="1">
      <alignment horizontal="center"/>
      <protection hidden="1"/>
    </xf>
    <xf numFmtId="0" fontId="174" fillId="0" borderId="1" xfId="0" applyFont="1" applyBorder="1" applyAlignment="1" applyProtection="1">
      <alignment horizontal="center" vertical="center"/>
      <protection hidden="1"/>
    </xf>
    <xf numFmtId="0" fontId="50" fillId="0" borderId="1" xfId="0" applyFont="1" applyBorder="1" applyAlignment="1" applyProtection="1">
      <alignment horizontal="center"/>
      <protection hidden="1"/>
    </xf>
    <xf numFmtId="2" fontId="143" fillId="0" borderId="1" xfId="0" applyNumberFormat="1" applyFont="1" applyBorder="1" applyAlignment="1" applyProtection="1">
      <alignment horizontal="center" vertical="center"/>
      <protection hidden="1"/>
    </xf>
    <xf numFmtId="0" fontId="143" fillId="0" borderId="1" xfId="0" applyFont="1" applyBorder="1" applyAlignment="1" applyProtection="1">
      <alignment horizontal="center" vertical="center"/>
      <protection hidden="1"/>
    </xf>
    <xf numFmtId="0" fontId="66" fillId="0" borderId="14" xfId="0" applyFont="1" applyBorder="1" applyAlignment="1" applyProtection="1">
      <alignment horizontal="center" vertical="center" wrapText="1"/>
      <protection hidden="1"/>
    </xf>
    <xf numFmtId="0" fontId="66" fillId="0" borderId="0" xfId="0" applyFont="1" applyBorder="1" applyAlignment="1" applyProtection="1">
      <alignment horizontal="center" vertical="center" wrapText="1"/>
      <protection hidden="1"/>
    </xf>
    <xf numFmtId="0" fontId="66" fillId="0" borderId="6" xfId="0" applyFont="1" applyBorder="1" applyAlignment="1" applyProtection="1">
      <alignment horizontal="center" vertical="center" wrapText="1"/>
      <protection hidden="1"/>
    </xf>
    <xf numFmtId="0" fontId="66" fillId="0" borderId="12" xfId="0" applyFont="1" applyBorder="1" applyAlignment="1" applyProtection="1">
      <alignment horizontal="center" vertical="center" wrapText="1"/>
      <protection hidden="1"/>
    </xf>
    <xf numFmtId="0" fontId="9" fillId="0" borderId="1" xfId="0" applyFont="1" applyBorder="1" applyAlignment="1" applyProtection="1">
      <alignment horizontal="right" vertical="center"/>
      <protection hidden="1"/>
    </xf>
    <xf numFmtId="0" fontId="36" fillId="0" borderId="1" xfId="0" applyFont="1" applyFill="1" applyBorder="1" applyAlignment="1" applyProtection="1">
      <alignment horizontal="center" vertical="center" wrapText="1"/>
      <protection hidden="1"/>
    </xf>
    <xf numFmtId="2" fontId="36" fillId="0" borderId="9" xfId="0" applyNumberFormat="1" applyFont="1" applyBorder="1" applyAlignment="1" applyProtection="1">
      <alignment horizontal="center" vertical="center"/>
      <protection hidden="1"/>
    </xf>
    <xf numFmtId="2" fontId="36" fillId="0" borderId="10" xfId="0" applyNumberFormat="1" applyFont="1" applyBorder="1" applyAlignment="1" applyProtection="1">
      <alignment horizontal="center" vertical="center"/>
      <protection hidden="1"/>
    </xf>
    <xf numFmtId="0" fontId="67" fillId="7" borderId="0" xfId="0" applyFont="1" applyFill="1" applyAlignment="1" applyProtection="1">
      <alignment horizontal="center" vertical="center"/>
      <protection hidden="1"/>
    </xf>
    <xf numFmtId="165" fontId="67" fillId="7" borderId="0" xfId="0" applyNumberFormat="1" applyFont="1" applyFill="1" applyAlignment="1" applyProtection="1">
      <alignment horizontal="left" vertical="center"/>
      <protection hidden="1"/>
    </xf>
    <xf numFmtId="0" fontId="10" fillId="7" borderId="0" xfId="0" applyFont="1" applyFill="1" applyAlignment="1" applyProtection="1">
      <alignment horizontal="right" vertical="center"/>
      <protection hidden="1"/>
    </xf>
    <xf numFmtId="2" fontId="30" fillId="7" borderId="9" xfId="0" applyNumberFormat="1" applyFont="1" applyFill="1" applyBorder="1" applyAlignment="1" applyProtection="1">
      <alignment horizontal="right" vertical="center"/>
      <protection hidden="1"/>
    </xf>
    <xf numFmtId="2" fontId="30" fillId="7" borderId="13" xfId="0" applyNumberFormat="1" applyFont="1" applyFill="1" applyBorder="1" applyAlignment="1" applyProtection="1">
      <alignment horizontal="right" vertical="center"/>
      <protection hidden="1"/>
    </xf>
    <xf numFmtId="2" fontId="30" fillId="7" borderId="10" xfId="0" applyNumberFormat="1" applyFont="1" applyFill="1" applyBorder="1" applyAlignment="1" applyProtection="1">
      <alignment horizontal="right" vertical="center"/>
      <protection hidden="1"/>
    </xf>
    <xf numFmtId="2" fontId="27" fillId="7" borderId="9" xfId="0" applyNumberFormat="1" applyFont="1" applyFill="1" applyBorder="1" applyAlignment="1" applyProtection="1">
      <alignment horizontal="right" vertical="center"/>
      <protection hidden="1"/>
    </xf>
    <xf numFmtId="2" fontId="27" fillId="7" borderId="13" xfId="0" applyNumberFormat="1" applyFont="1" applyFill="1" applyBorder="1" applyAlignment="1" applyProtection="1">
      <alignment horizontal="right" vertical="center"/>
      <protection hidden="1"/>
    </xf>
    <xf numFmtId="2" fontId="27" fillId="7" borderId="10" xfId="0" applyNumberFormat="1" applyFont="1" applyFill="1" applyBorder="1" applyAlignment="1" applyProtection="1">
      <alignment horizontal="right" vertical="center"/>
      <protection hidden="1"/>
    </xf>
    <xf numFmtId="2" fontId="28" fillId="7" borderId="9" xfId="0" applyNumberFormat="1" applyFont="1" applyFill="1" applyBorder="1" applyAlignment="1" applyProtection="1">
      <alignment horizontal="right" vertical="center"/>
      <protection hidden="1"/>
    </xf>
    <xf numFmtId="2" fontId="28" fillId="7" borderId="13" xfId="0" applyNumberFormat="1" applyFont="1" applyFill="1" applyBorder="1" applyAlignment="1" applyProtection="1">
      <alignment horizontal="right" vertical="center"/>
      <protection hidden="1"/>
    </xf>
    <xf numFmtId="2" fontId="28" fillId="7" borderId="10" xfId="0" applyNumberFormat="1" applyFont="1" applyFill="1" applyBorder="1" applyAlignment="1" applyProtection="1">
      <alignment horizontal="right" vertical="center"/>
      <protection hidden="1"/>
    </xf>
    <xf numFmtId="2" fontId="31" fillId="7" borderId="9" xfId="0" applyNumberFormat="1" applyFont="1" applyFill="1" applyBorder="1" applyAlignment="1" applyProtection="1">
      <alignment horizontal="right" vertical="center"/>
      <protection hidden="1"/>
    </xf>
    <xf numFmtId="2" fontId="31" fillId="7" borderId="13" xfId="0" applyNumberFormat="1" applyFont="1" applyFill="1" applyBorder="1" applyAlignment="1" applyProtection="1">
      <alignment horizontal="right" vertical="center"/>
      <protection hidden="1"/>
    </xf>
    <xf numFmtId="2" fontId="31" fillId="7" borderId="10" xfId="0" applyNumberFormat="1" applyFont="1" applyFill="1" applyBorder="1" applyAlignment="1" applyProtection="1">
      <alignment horizontal="right" vertical="center"/>
      <protection hidden="1"/>
    </xf>
    <xf numFmtId="2" fontId="32" fillId="7" borderId="9" xfId="0" applyNumberFormat="1" applyFont="1" applyFill="1" applyBorder="1" applyAlignment="1" applyProtection="1">
      <alignment horizontal="right" vertical="center"/>
      <protection hidden="1"/>
    </xf>
    <xf numFmtId="2" fontId="32" fillId="7" borderId="13" xfId="0" applyNumberFormat="1" applyFont="1" applyFill="1" applyBorder="1" applyAlignment="1" applyProtection="1">
      <alignment horizontal="right" vertical="center"/>
      <protection hidden="1"/>
    </xf>
    <xf numFmtId="2" fontId="32" fillId="7" borderId="10" xfId="0" applyNumberFormat="1" applyFont="1" applyFill="1" applyBorder="1" applyAlignment="1" applyProtection="1">
      <alignment horizontal="right" vertical="center"/>
      <protection hidden="1"/>
    </xf>
    <xf numFmtId="2" fontId="27" fillId="7" borderId="1" xfId="0" applyNumberFormat="1" applyFont="1" applyFill="1" applyBorder="1" applyAlignment="1" applyProtection="1">
      <alignment horizontal="right" vertical="center"/>
      <protection hidden="1"/>
    </xf>
    <xf numFmtId="2" fontId="28" fillId="7" borderId="1" xfId="0" applyNumberFormat="1" applyFont="1" applyFill="1" applyBorder="1" applyAlignment="1" applyProtection="1">
      <alignment horizontal="right" vertical="center"/>
      <protection hidden="1"/>
    </xf>
    <xf numFmtId="1" fontId="30" fillId="7" borderId="1" xfId="0" applyNumberFormat="1" applyFont="1" applyFill="1" applyBorder="1" applyAlignment="1" applyProtection="1">
      <alignment horizontal="center" vertical="center"/>
      <protection hidden="1"/>
    </xf>
    <xf numFmtId="164" fontId="30" fillId="7" borderId="1" xfId="0" applyNumberFormat="1" applyFont="1" applyFill="1" applyBorder="1" applyAlignment="1" applyProtection="1">
      <alignment horizontal="center" vertical="center"/>
      <protection hidden="1"/>
    </xf>
    <xf numFmtId="2" fontId="29" fillId="7" borderId="9" xfId="0" applyNumberFormat="1" applyFont="1" applyFill="1" applyBorder="1" applyAlignment="1" applyProtection="1">
      <alignment horizontal="right" vertical="center"/>
      <protection hidden="1"/>
    </xf>
    <xf numFmtId="2" fontId="29" fillId="7" borderId="13" xfId="0" applyNumberFormat="1" applyFont="1" applyFill="1" applyBorder="1" applyAlignment="1" applyProtection="1">
      <alignment horizontal="right" vertical="center"/>
      <protection hidden="1"/>
    </xf>
    <xf numFmtId="2" fontId="29" fillId="7" borderId="10" xfId="0" applyNumberFormat="1" applyFont="1" applyFill="1" applyBorder="1" applyAlignment="1" applyProtection="1">
      <alignment horizontal="right" vertical="center"/>
      <protection hidden="1"/>
    </xf>
    <xf numFmtId="0" fontId="3" fillId="0" borderId="16" xfId="0" applyFont="1" applyBorder="1" applyAlignment="1" applyProtection="1">
      <alignment horizontal="center" vertical="center"/>
      <protection hidden="1"/>
    </xf>
    <xf numFmtId="0" fontId="3" fillId="0" borderId="3" xfId="0" applyFont="1" applyBorder="1" applyAlignment="1" applyProtection="1">
      <alignment horizontal="center" vertical="center"/>
      <protection hidden="1"/>
    </xf>
    <xf numFmtId="0" fontId="3" fillId="0" borderId="2" xfId="0" applyFont="1" applyBorder="1" applyAlignment="1" applyProtection="1">
      <alignment horizontal="center" vertical="center"/>
      <protection hidden="1"/>
    </xf>
    <xf numFmtId="0" fontId="4" fillId="0" borderId="4" xfId="0" applyFont="1" applyBorder="1" applyAlignment="1" applyProtection="1">
      <alignment horizontal="left" vertical="center" wrapText="1"/>
      <protection hidden="1"/>
    </xf>
    <xf numFmtId="0" fontId="4" fillId="0" borderId="11" xfId="0" applyFont="1" applyBorder="1" applyAlignment="1" applyProtection="1">
      <alignment horizontal="left" vertical="center" wrapText="1"/>
      <protection hidden="1"/>
    </xf>
    <xf numFmtId="0" fontId="4" fillId="0" borderId="5" xfId="0" applyFont="1" applyBorder="1" applyAlignment="1" applyProtection="1">
      <alignment horizontal="left" vertical="center" wrapText="1"/>
      <protection hidden="1"/>
    </xf>
    <xf numFmtId="0" fontId="4" fillId="0" borderId="14" xfId="0" applyFont="1" applyBorder="1" applyAlignment="1" applyProtection="1">
      <alignment horizontal="left" vertical="center" wrapText="1"/>
      <protection hidden="1"/>
    </xf>
    <xf numFmtId="0" fontId="4" fillId="0" borderId="0" xfId="0" applyFont="1" applyBorder="1" applyAlignment="1" applyProtection="1">
      <alignment horizontal="left" vertical="center" wrapText="1"/>
      <protection hidden="1"/>
    </xf>
    <xf numFmtId="0" fontId="4" fillId="0" borderId="8" xfId="0" applyFont="1" applyBorder="1" applyAlignment="1" applyProtection="1">
      <alignment horizontal="left" vertical="center" wrapText="1"/>
      <protection hidden="1"/>
    </xf>
    <xf numFmtId="0" fontId="4" fillId="0" borderId="6" xfId="0" applyFont="1" applyBorder="1" applyAlignment="1" applyProtection="1">
      <alignment horizontal="left" vertical="center" wrapText="1"/>
      <protection hidden="1"/>
    </xf>
    <xf numFmtId="0" fontId="4" fillId="0" borderId="12" xfId="0" applyFont="1" applyBorder="1" applyAlignment="1" applyProtection="1">
      <alignment horizontal="left" vertical="center" wrapText="1"/>
      <protection hidden="1"/>
    </xf>
    <xf numFmtId="0" fontId="4" fillId="0" borderId="7" xfId="0" applyFont="1" applyBorder="1" applyAlignment="1" applyProtection="1">
      <alignment horizontal="left" vertical="center" wrapText="1"/>
      <protection hidden="1"/>
    </xf>
    <xf numFmtId="0" fontId="3" fillId="0" borderId="9" xfId="0" applyFont="1" applyBorder="1" applyAlignment="1" applyProtection="1">
      <alignment horizontal="right" vertical="center"/>
      <protection hidden="1"/>
    </xf>
    <xf numFmtId="0" fontId="3" fillId="0" borderId="13" xfId="0" applyFont="1" applyBorder="1" applyAlignment="1" applyProtection="1">
      <alignment horizontal="right" vertical="center"/>
      <protection hidden="1"/>
    </xf>
    <xf numFmtId="0" fontId="3" fillId="0" borderId="10" xfId="0" applyFont="1" applyBorder="1" applyAlignment="1" applyProtection="1">
      <alignment horizontal="right" vertical="center"/>
      <protection hidden="1"/>
    </xf>
    <xf numFmtId="2" fontId="30" fillId="7" borderId="1" xfId="0" applyNumberFormat="1" applyFont="1" applyFill="1" applyBorder="1" applyAlignment="1" applyProtection="1">
      <alignment horizontal="right" vertical="center"/>
      <protection hidden="1"/>
    </xf>
    <xf numFmtId="0" fontId="4" fillId="0" borderId="4" xfId="0" applyFont="1" applyBorder="1" applyAlignment="1" applyProtection="1">
      <alignment horizontal="left" vertical="center"/>
      <protection hidden="1"/>
    </xf>
    <xf numFmtId="0" fontId="4" fillId="0" borderId="11" xfId="0" applyFont="1" applyBorder="1" applyAlignment="1" applyProtection="1">
      <alignment horizontal="left" vertical="center"/>
      <protection hidden="1"/>
    </xf>
    <xf numFmtId="0" fontId="4" fillId="0" borderId="5" xfId="0" applyFont="1" applyBorder="1" applyAlignment="1" applyProtection="1">
      <alignment horizontal="left" vertical="center"/>
      <protection hidden="1"/>
    </xf>
    <xf numFmtId="0" fontId="4" fillId="0" borderId="14" xfId="0" applyFont="1" applyBorder="1" applyAlignment="1" applyProtection="1">
      <alignment horizontal="left" vertical="center"/>
      <protection hidden="1"/>
    </xf>
    <xf numFmtId="0" fontId="4" fillId="0" borderId="0" xfId="0" applyFont="1" applyBorder="1" applyAlignment="1" applyProtection="1">
      <alignment horizontal="left" vertical="center"/>
      <protection hidden="1"/>
    </xf>
    <xf numFmtId="0" fontId="4" fillId="0" borderId="8" xfId="0" applyFont="1" applyBorder="1" applyAlignment="1" applyProtection="1">
      <alignment horizontal="left" vertical="center"/>
      <protection hidden="1"/>
    </xf>
    <xf numFmtId="0" fontId="4" fillId="0" borderId="6" xfId="0" applyFont="1" applyBorder="1" applyAlignment="1" applyProtection="1">
      <alignment horizontal="left" vertical="center"/>
      <protection hidden="1"/>
    </xf>
    <xf numFmtId="0" fontId="4" fillId="0" borderId="12" xfId="0" applyFont="1" applyBorder="1" applyAlignment="1" applyProtection="1">
      <alignment horizontal="left" vertical="center"/>
      <protection hidden="1"/>
    </xf>
    <xf numFmtId="0" fontId="4" fillId="0" borderId="7" xfId="0" applyFont="1" applyBorder="1" applyAlignment="1" applyProtection="1">
      <alignment horizontal="left" vertical="center"/>
      <protection hidden="1"/>
    </xf>
    <xf numFmtId="0" fontId="3" fillId="0" borderId="0" xfId="0" applyFont="1" applyBorder="1" applyAlignment="1" applyProtection="1">
      <alignment horizontal="center" vertical="center" wrapText="1"/>
      <protection hidden="1"/>
    </xf>
    <xf numFmtId="0" fontId="3" fillId="0" borderId="8" xfId="0" applyFont="1" applyBorder="1" applyAlignment="1" applyProtection="1">
      <alignment horizontal="center" vertical="center" wrapText="1"/>
      <protection hidden="1"/>
    </xf>
    <xf numFmtId="0" fontId="3" fillId="0" borderId="12" xfId="0" applyFont="1" applyBorder="1" applyAlignment="1" applyProtection="1">
      <alignment horizontal="center" vertical="center" wrapText="1"/>
      <protection hidden="1"/>
    </xf>
    <xf numFmtId="0" fontId="3" fillId="0" borderId="7"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protection hidden="1"/>
    </xf>
    <xf numFmtId="0" fontId="4" fillId="0" borderId="13" xfId="0" applyFont="1" applyBorder="1" applyAlignment="1" applyProtection="1">
      <alignment horizontal="center" vertical="center"/>
      <protection hidden="1"/>
    </xf>
    <xf numFmtId="0" fontId="4" fillId="0" borderId="10" xfId="0" applyFont="1" applyBorder="1" applyAlignment="1" applyProtection="1">
      <alignment horizontal="center" vertical="center"/>
      <protection hidden="1"/>
    </xf>
    <xf numFmtId="0" fontId="4" fillId="0" borderId="1" xfId="0" applyFont="1" applyBorder="1" applyAlignment="1" applyProtection="1">
      <alignment horizontal="center" vertical="center"/>
      <protection hidden="1"/>
    </xf>
    <xf numFmtId="0" fontId="4" fillId="0" borderId="9" xfId="0" applyFont="1" applyBorder="1" applyAlignment="1" applyProtection="1">
      <alignment horizontal="left" vertical="center"/>
      <protection hidden="1"/>
    </xf>
    <xf numFmtId="0" fontId="4" fillId="0" borderId="13" xfId="0" applyFont="1" applyBorder="1" applyAlignment="1" applyProtection="1">
      <alignment horizontal="left" vertical="center"/>
      <protection hidden="1"/>
    </xf>
    <xf numFmtId="0" fontId="4" fillId="0" borderId="10" xfId="0" applyFont="1" applyBorder="1" applyAlignment="1" applyProtection="1">
      <alignment horizontal="left" vertical="center"/>
      <protection hidden="1"/>
    </xf>
    <xf numFmtId="0" fontId="4" fillId="7" borderId="9" xfId="0" applyFont="1" applyFill="1" applyBorder="1" applyAlignment="1" applyProtection="1">
      <alignment horizontal="center" vertical="center"/>
      <protection hidden="1"/>
    </xf>
    <xf numFmtId="0" fontId="4" fillId="7" borderId="13" xfId="0" applyFont="1" applyFill="1" applyBorder="1" applyAlignment="1" applyProtection="1">
      <alignment horizontal="center" vertical="center"/>
      <protection hidden="1"/>
    </xf>
    <xf numFmtId="0" fontId="4" fillId="7" borderId="10" xfId="0" applyFont="1" applyFill="1" applyBorder="1" applyAlignment="1" applyProtection="1">
      <alignment horizontal="center" vertical="center"/>
      <protection hidden="1"/>
    </xf>
    <xf numFmtId="0" fontId="4" fillId="7" borderId="1" xfId="0" applyFont="1" applyFill="1" applyBorder="1" applyAlignment="1" applyProtection="1">
      <alignment horizontal="center" vertical="center"/>
      <protection hidden="1"/>
    </xf>
    <xf numFmtId="0" fontId="9" fillId="7" borderId="1" xfId="0" applyFont="1" applyFill="1" applyBorder="1" applyAlignment="1" applyProtection="1">
      <alignment horizontal="center" vertical="center"/>
      <protection hidden="1"/>
    </xf>
    <xf numFmtId="0" fontId="3" fillId="7" borderId="1" xfId="0" applyFont="1" applyFill="1" applyBorder="1" applyAlignment="1" applyProtection="1">
      <alignment horizontal="center" vertical="center"/>
      <protection hidden="1"/>
    </xf>
    <xf numFmtId="0" fontId="34" fillId="7" borderId="1" xfId="0" applyFont="1" applyFill="1" applyBorder="1" applyAlignment="1" applyProtection="1">
      <alignment horizontal="left" vertical="center" wrapText="1"/>
      <protection hidden="1"/>
    </xf>
    <xf numFmtId="0" fontId="34" fillId="7" borderId="1" xfId="0" applyFont="1" applyFill="1" applyBorder="1" applyAlignment="1" applyProtection="1">
      <alignment horizontal="right" vertical="center"/>
      <protection hidden="1"/>
    </xf>
    <xf numFmtId="164" fontId="29" fillId="7" borderId="1" xfId="0" applyNumberFormat="1" applyFont="1" applyFill="1" applyBorder="1" applyAlignment="1" applyProtection="1">
      <alignment horizontal="right" vertical="center"/>
      <protection hidden="1"/>
    </xf>
    <xf numFmtId="0" fontId="63" fillId="7" borderId="1" xfId="0" applyFont="1" applyFill="1" applyBorder="1" applyAlignment="1" applyProtection="1">
      <alignment horizontal="left" vertical="center" wrapText="1"/>
      <protection hidden="1"/>
    </xf>
    <xf numFmtId="0" fontId="63" fillId="7" borderId="1" xfId="0" applyFont="1" applyFill="1" applyBorder="1" applyAlignment="1" applyProtection="1">
      <alignment horizontal="right" vertical="center"/>
      <protection hidden="1"/>
    </xf>
    <xf numFmtId="164" fontId="64" fillId="7" borderId="1" xfId="0" applyNumberFormat="1" applyFont="1" applyFill="1" applyBorder="1" applyAlignment="1" applyProtection="1">
      <alignment horizontal="right" vertical="center"/>
      <protection hidden="1"/>
    </xf>
    <xf numFmtId="0" fontId="33" fillId="7" borderId="1" xfId="0" applyFont="1" applyFill="1" applyBorder="1" applyAlignment="1" applyProtection="1">
      <alignment horizontal="left" vertical="center" wrapText="1"/>
      <protection hidden="1"/>
    </xf>
    <xf numFmtId="0" fontId="33" fillId="7" borderId="1" xfId="0" applyFont="1" applyFill="1" applyBorder="1" applyAlignment="1" applyProtection="1">
      <alignment horizontal="right" vertical="center"/>
      <protection hidden="1"/>
    </xf>
    <xf numFmtId="164" fontId="27" fillId="7" borderId="1" xfId="0" applyNumberFormat="1" applyFont="1" applyFill="1" applyBorder="1" applyAlignment="1" applyProtection="1">
      <alignment horizontal="right" vertical="center"/>
      <protection hidden="1"/>
    </xf>
    <xf numFmtId="164" fontId="25" fillId="7" borderId="1" xfId="0" applyNumberFormat="1" applyFont="1" applyFill="1" applyBorder="1" applyAlignment="1" applyProtection="1">
      <alignment horizontal="right" vertical="center"/>
      <protection hidden="1"/>
    </xf>
    <xf numFmtId="0" fontId="35" fillId="7" borderId="1" xfId="0" applyFont="1" applyFill="1" applyBorder="1" applyAlignment="1" applyProtection="1">
      <alignment horizontal="left" vertical="center" wrapText="1"/>
      <protection hidden="1"/>
    </xf>
    <xf numFmtId="0" fontId="35" fillId="7" borderId="1" xfId="0" applyFont="1" applyFill="1" applyBorder="1" applyAlignment="1" applyProtection="1">
      <alignment horizontal="right" vertical="center"/>
      <protection hidden="1"/>
    </xf>
    <xf numFmtId="164" fontId="74" fillId="7" borderId="1" xfId="0" applyNumberFormat="1" applyFont="1" applyFill="1" applyBorder="1" applyAlignment="1" applyProtection="1">
      <alignment horizontal="right" vertical="center"/>
      <protection hidden="1"/>
    </xf>
    <xf numFmtId="0" fontId="24" fillId="7" borderId="1" xfId="0" applyFont="1" applyFill="1" applyBorder="1" applyAlignment="1" applyProtection="1">
      <alignment horizontal="left" vertical="center" wrapText="1"/>
      <protection hidden="1"/>
    </xf>
    <xf numFmtId="0" fontId="24" fillId="7" borderId="1" xfId="0" applyFont="1" applyFill="1" applyBorder="1" applyAlignment="1" applyProtection="1">
      <alignment horizontal="right" vertical="center"/>
      <protection hidden="1"/>
    </xf>
    <xf numFmtId="0" fontId="4" fillId="7" borderId="1" xfId="0" applyFont="1" applyFill="1" applyBorder="1" applyAlignment="1" applyProtection="1">
      <alignment horizontal="left" vertical="center"/>
      <protection hidden="1"/>
    </xf>
    <xf numFmtId="164" fontId="28" fillId="7" borderId="1" xfId="0" applyNumberFormat="1" applyFont="1" applyFill="1" applyBorder="1" applyAlignment="1" applyProtection="1">
      <alignment horizontal="right" vertical="center"/>
      <protection hidden="1"/>
    </xf>
    <xf numFmtId="0" fontId="4" fillId="7" borderId="1" xfId="0" applyFont="1" applyFill="1" applyBorder="1" applyAlignment="1" applyProtection="1">
      <alignment horizontal="left" vertical="center" wrapText="1"/>
      <protection hidden="1"/>
    </xf>
    <xf numFmtId="164" fontId="26" fillId="7" borderId="1" xfId="0" applyNumberFormat="1" applyFont="1" applyFill="1" applyBorder="1" applyAlignment="1" applyProtection="1">
      <alignment horizontal="right" vertical="center"/>
      <protection hidden="1"/>
    </xf>
    <xf numFmtId="164" fontId="30" fillId="7" borderId="1" xfId="0" applyNumberFormat="1" applyFont="1" applyFill="1" applyBorder="1" applyAlignment="1" applyProtection="1">
      <alignment horizontal="right" vertical="center"/>
      <protection hidden="1"/>
    </xf>
    <xf numFmtId="164" fontId="52" fillId="7" borderId="1" xfId="0" applyNumberFormat="1" applyFont="1" applyFill="1" applyBorder="1" applyAlignment="1" applyProtection="1">
      <alignment horizontal="right" vertical="center"/>
      <protection hidden="1"/>
    </xf>
    <xf numFmtId="164" fontId="65" fillId="7" borderId="1" xfId="0" applyNumberFormat="1" applyFont="1" applyFill="1" applyBorder="1" applyAlignment="1" applyProtection="1">
      <alignment horizontal="right" vertical="center"/>
      <protection hidden="1"/>
    </xf>
    <xf numFmtId="164" fontId="86" fillId="7" borderId="1" xfId="0" applyNumberFormat="1" applyFont="1" applyFill="1" applyBorder="1" applyAlignment="1" applyProtection="1">
      <alignment horizontal="right" vertical="center"/>
      <protection hidden="1"/>
    </xf>
    <xf numFmtId="164" fontId="57" fillId="7" borderId="1" xfId="0" applyNumberFormat="1" applyFont="1" applyFill="1" applyBorder="1" applyAlignment="1" applyProtection="1">
      <alignment horizontal="right" vertical="center"/>
      <protection hidden="1"/>
    </xf>
    <xf numFmtId="0" fontId="23" fillId="7" borderId="1" xfId="0" applyFont="1" applyFill="1" applyBorder="1" applyAlignment="1" applyProtection="1">
      <alignment horizontal="left" vertical="center" wrapText="1"/>
      <protection hidden="1"/>
    </xf>
    <xf numFmtId="0" fontId="23" fillId="7" borderId="1" xfId="0" applyFont="1" applyFill="1" applyBorder="1" applyAlignment="1" applyProtection="1">
      <alignment horizontal="right" vertical="center"/>
      <protection hidden="1"/>
    </xf>
    <xf numFmtId="0" fontId="20" fillId="7" borderId="1" xfId="0" applyFont="1" applyFill="1" applyBorder="1" applyAlignment="1" applyProtection="1">
      <alignment horizontal="right" vertical="center"/>
      <protection hidden="1"/>
    </xf>
    <xf numFmtId="0" fontId="3" fillId="7" borderId="0" xfId="0" applyFont="1" applyFill="1" applyAlignment="1" applyProtection="1">
      <alignment horizontal="center"/>
      <protection hidden="1"/>
    </xf>
    <xf numFmtId="0" fontId="3" fillId="7" borderId="0" xfId="0" applyFont="1" applyFill="1" applyAlignment="1" applyProtection="1">
      <alignment horizontal="left" vertical="center"/>
      <protection hidden="1"/>
    </xf>
    <xf numFmtId="0" fontId="21" fillId="7" borderId="0" xfId="0" applyFont="1" applyFill="1" applyAlignment="1" applyProtection="1">
      <alignment horizontal="left" vertical="center"/>
      <protection hidden="1"/>
    </xf>
    <xf numFmtId="49" fontId="3" fillId="7" borderId="9" xfId="0" applyNumberFormat="1" applyFont="1" applyFill="1" applyBorder="1" applyAlignment="1" applyProtection="1">
      <alignment horizontal="left" vertical="center"/>
      <protection hidden="1"/>
    </xf>
    <xf numFmtId="49" fontId="3" fillId="7" borderId="13" xfId="0" applyNumberFormat="1" applyFont="1" applyFill="1" applyBorder="1" applyAlignment="1" applyProtection="1">
      <alignment horizontal="left" vertical="center"/>
      <protection hidden="1"/>
    </xf>
    <xf numFmtId="0" fontId="5" fillId="7" borderId="13" xfId="0" applyFont="1" applyFill="1" applyBorder="1" applyAlignment="1" applyProtection="1">
      <alignment horizontal="center" vertical="center"/>
      <protection hidden="1"/>
    </xf>
    <xf numFmtId="0" fontId="5" fillId="7" borderId="10" xfId="0" applyFont="1" applyFill="1" applyBorder="1" applyAlignment="1" applyProtection="1">
      <alignment horizontal="center" vertical="center"/>
      <protection hidden="1"/>
    </xf>
    <xf numFmtId="0" fontId="19" fillId="7" borderId="13" xfId="0" applyNumberFormat="1" applyFont="1" applyFill="1" applyBorder="1" applyAlignment="1" applyProtection="1">
      <alignment horizontal="center" vertical="center"/>
      <protection hidden="1"/>
    </xf>
    <xf numFmtId="0" fontId="19" fillId="7" borderId="10" xfId="0" applyNumberFormat="1" applyFont="1" applyFill="1" applyBorder="1" applyAlignment="1" applyProtection="1">
      <alignment horizontal="center" vertical="center"/>
      <protection hidden="1"/>
    </xf>
    <xf numFmtId="0" fontId="9" fillId="7" borderId="13" xfId="0" applyNumberFormat="1" applyFont="1" applyFill="1" applyBorder="1" applyAlignment="1" applyProtection="1">
      <alignment horizontal="center" vertical="center"/>
      <protection hidden="1"/>
    </xf>
    <xf numFmtId="0" fontId="9" fillId="7" borderId="10" xfId="0" applyNumberFormat="1" applyFont="1" applyFill="1" applyBorder="1" applyAlignment="1" applyProtection="1">
      <alignment horizontal="center" vertical="center"/>
      <protection hidden="1"/>
    </xf>
    <xf numFmtId="49" fontId="4" fillId="7" borderId="13" xfId="0" applyNumberFormat="1" applyFont="1" applyFill="1" applyBorder="1" applyAlignment="1" applyProtection="1">
      <alignment horizontal="center" vertical="center"/>
      <protection locked="0"/>
    </xf>
    <xf numFmtId="49" fontId="4" fillId="7" borderId="10" xfId="0" applyNumberFormat="1" applyFont="1" applyFill="1" applyBorder="1" applyAlignment="1" applyProtection="1">
      <alignment horizontal="center" vertical="center"/>
      <protection locked="0"/>
    </xf>
    <xf numFmtId="0" fontId="33" fillId="7" borderId="1" xfId="0" applyFont="1" applyFill="1" applyBorder="1" applyAlignment="1" applyProtection="1">
      <alignment horizontal="left" vertical="center"/>
      <protection hidden="1"/>
    </xf>
    <xf numFmtId="0" fontId="20" fillId="7" borderId="4" xfId="0" applyFont="1" applyFill="1" applyBorder="1" applyAlignment="1" applyProtection="1">
      <alignment horizontal="left" vertical="center"/>
      <protection hidden="1"/>
    </xf>
    <xf numFmtId="0" fontId="20" fillId="7" borderId="11" xfId="0" applyFont="1" applyFill="1" applyBorder="1" applyAlignment="1" applyProtection="1">
      <alignment horizontal="left" vertical="center"/>
      <protection hidden="1"/>
    </xf>
    <xf numFmtId="0" fontId="20" fillId="7" borderId="5" xfId="0" applyFont="1" applyFill="1" applyBorder="1" applyAlignment="1" applyProtection="1">
      <alignment horizontal="left" vertical="center"/>
      <protection hidden="1"/>
    </xf>
    <xf numFmtId="0" fontId="36" fillId="7" borderId="0" xfId="0" applyFont="1" applyFill="1" applyBorder="1" applyAlignment="1" applyProtection="1">
      <alignment horizontal="left" vertical="center" wrapText="1"/>
      <protection hidden="1"/>
    </xf>
    <xf numFmtId="0" fontId="36" fillId="7" borderId="8" xfId="0" applyFont="1" applyFill="1" applyBorder="1" applyAlignment="1" applyProtection="1">
      <alignment horizontal="left" vertical="center" wrapText="1"/>
      <protection hidden="1"/>
    </xf>
    <xf numFmtId="0" fontId="20" fillId="7" borderId="2" xfId="0" applyFont="1" applyFill="1" applyBorder="1" applyAlignment="1" applyProtection="1">
      <alignment horizontal="left" vertical="center" wrapText="1"/>
      <protection hidden="1"/>
    </xf>
    <xf numFmtId="0" fontId="20" fillId="7" borderId="6" xfId="0" applyFont="1" applyFill="1" applyBorder="1" applyAlignment="1" applyProtection="1">
      <alignment horizontal="left" vertical="center" wrapText="1"/>
      <protection hidden="1"/>
    </xf>
    <xf numFmtId="0" fontId="20" fillId="7" borderId="1" xfId="0" applyFont="1" applyFill="1" applyBorder="1" applyAlignment="1" applyProtection="1">
      <alignment horizontal="left" vertical="center" wrapText="1"/>
      <protection hidden="1"/>
    </xf>
    <xf numFmtId="0" fontId="20" fillId="7" borderId="9" xfId="0" applyFont="1" applyFill="1" applyBorder="1" applyAlignment="1" applyProtection="1">
      <alignment horizontal="left" vertical="center" wrapText="1"/>
      <protection hidden="1"/>
    </xf>
    <xf numFmtId="49" fontId="38" fillId="7" borderId="1" xfId="0" applyNumberFormat="1" applyFont="1" applyFill="1" applyBorder="1" applyAlignment="1" applyProtection="1">
      <alignment horizontal="center" vertical="center"/>
      <protection hidden="1"/>
    </xf>
    <xf numFmtId="0" fontId="6" fillId="7" borderId="31" xfId="0" applyFont="1" applyFill="1" applyBorder="1" applyAlignment="1" applyProtection="1">
      <alignment horizontal="center" vertical="center" wrapText="1"/>
      <protection hidden="1"/>
    </xf>
    <xf numFmtId="2" fontId="67" fillId="7" borderId="36" xfId="0" applyNumberFormat="1" applyFont="1" applyFill="1" applyBorder="1" applyAlignment="1" applyProtection="1">
      <alignment horizontal="center" vertical="top" textRotation="90"/>
      <protection hidden="1"/>
    </xf>
    <xf numFmtId="0" fontId="37" fillId="7" borderId="1" xfId="0" applyFont="1" applyFill="1" applyBorder="1" applyAlignment="1" applyProtection="1">
      <alignment horizontal="center" vertical="center"/>
      <protection hidden="1"/>
    </xf>
    <xf numFmtId="0" fontId="164" fillId="7" borderId="36" xfId="0" applyFont="1" applyFill="1" applyBorder="1" applyAlignment="1" applyProtection="1">
      <alignment horizontal="center" vertical="center"/>
      <protection hidden="1"/>
    </xf>
    <xf numFmtId="0" fontId="40" fillId="7" borderId="1" xfId="0" applyFont="1" applyFill="1" applyBorder="1" applyAlignment="1" applyProtection="1">
      <alignment horizontal="center" vertical="center"/>
      <protection hidden="1"/>
    </xf>
    <xf numFmtId="0" fontId="178" fillId="7" borderId="60" xfId="0" applyFont="1" applyFill="1" applyBorder="1" applyAlignment="1" applyProtection="1">
      <alignment horizontal="center"/>
      <protection hidden="1"/>
    </xf>
    <xf numFmtId="0" fontId="178" fillId="7" borderId="54" xfId="0" applyFont="1" applyFill="1" applyBorder="1" applyAlignment="1" applyProtection="1">
      <alignment horizontal="center"/>
      <protection hidden="1"/>
    </xf>
    <xf numFmtId="0" fontId="178" fillId="7" borderId="0" xfId="0" applyFont="1" applyFill="1" applyBorder="1" applyAlignment="1" applyProtection="1">
      <alignment horizontal="center"/>
      <protection hidden="1"/>
    </xf>
    <xf numFmtId="0" fontId="39" fillId="7" borderId="1" xfId="0" applyFont="1" applyFill="1" applyBorder="1" applyAlignment="1" applyProtection="1">
      <alignment horizontal="center" vertical="center"/>
      <protection hidden="1"/>
    </xf>
    <xf numFmtId="0" fontId="39" fillId="7" borderId="33" xfId="0" applyFont="1" applyFill="1" applyBorder="1" applyAlignment="1" applyProtection="1">
      <alignment horizontal="center" vertical="center" wrapText="1"/>
      <protection hidden="1"/>
    </xf>
    <xf numFmtId="0" fontId="39" fillId="7" borderId="1" xfId="0" applyFont="1" applyFill="1" applyBorder="1" applyAlignment="1" applyProtection="1">
      <alignment horizontal="center" vertical="center" wrapText="1"/>
      <protection hidden="1"/>
    </xf>
    <xf numFmtId="0" fontId="67" fillId="7" borderId="35" xfId="0" applyFont="1" applyFill="1" applyBorder="1" applyAlignment="1" applyProtection="1">
      <alignment horizontal="center" vertical="center" wrapText="1"/>
      <protection hidden="1"/>
    </xf>
    <xf numFmtId="0" fontId="67" fillId="7" borderId="36" xfId="0" applyFont="1" applyFill="1" applyBorder="1" applyAlignment="1" applyProtection="1">
      <alignment horizontal="center" vertical="center" wrapText="1"/>
      <protection hidden="1"/>
    </xf>
    <xf numFmtId="0" fontId="67" fillId="7" borderId="36" xfId="0" applyFont="1" applyFill="1" applyBorder="1" applyAlignment="1" applyProtection="1">
      <alignment horizontal="center" vertical="center"/>
      <protection hidden="1"/>
    </xf>
    <xf numFmtId="0" fontId="6" fillId="7" borderId="31" xfId="0" applyFont="1" applyFill="1" applyBorder="1" applyAlignment="1" applyProtection="1">
      <alignment horizontal="center" vertical="center" textRotation="90"/>
      <protection hidden="1"/>
    </xf>
    <xf numFmtId="0" fontId="6" fillId="7" borderId="1" xfId="0" applyFont="1" applyFill="1" applyBorder="1" applyAlignment="1" applyProtection="1">
      <alignment horizontal="center" vertical="center" textRotation="90"/>
      <protection hidden="1"/>
    </xf>
    <xf numFmtId="0" fontId="6" fillId="7" borderId="32" xfId="0" applyFont="1" applyFill="1" applyBorder="1" applyAlignment="1" applyProtection="1">
      <alignment horizontal="center" vertical="center" textRotation="90"/>
      <protection hidden="1"/>
    </xf>
    <xf numFmtId="0" fontId="6" fillId="7" borderId="34" xfId="0" applyFont="1" applyFill="1" applyBorder="1" applyAlignment="1" applyProtection="1">
      <alignment horizontal="center" vertical="center" textRotation="90"/>
      <protection hidden="1"/>
    </xf>
    <xf numFmtId="0" fontId="6" fillId="7" borderId="30" xfId="0" applyFont="1" applyFill="1" applyBorder="1" applyAlignment="1" applyProtection="1">
      <alignment horizontal="center" vertical="center" textRotation="90" wrapText="1"/>
      <protection hidden="1"/>
    </xf>
    <xf numFmtId="0" fontId="6" fillId="7" borderId="33" xfId="0" applyFont="1" applyFill="1" applyBorder="1" applyAlignment="1" applyProtection="1">
      <alignment horizontal="center" vertical="center" textRotation="90" wrapText="1"/>
      <protection hidden="1"/>
    </xf>
    <xf numFmtId="0" fontId="6" fillId="7" borderId="35" xfId="0" applyFont="1" applyFill="1" applyBorder="1" applyAlignment="1" applyProtection="1">
      <alignment horizontal="center" vertical="center" textRotation="90" wrapText="1"/>
      <protection hidden="1"/>
    </xf>
    <xf numFmtId="0" fontId="0" fillId="7" borderId="0" xfId="0" applyFill="1" applyAlignment="1" applyProtection="1">
      <alignment horizontal="center"/>
      <protection hidden="1"/>
    </xf>
    <xf numFmtId="0" fontId="67" fillId="7" borderId="31" xfId="0" applyFont="1" applyFill="1" applyBorder="1" applyAlignment="1" applyProtection="1">
      <alignment horizontal="center" vertical="center" wrapText="1"/>
      <protection hidden="1"/>
    </xf>
    <xf numFmtId="0" fontId="67" fillId="7" borderId="32" xfId="0" applyFont="1" applyFill="1" applyBorder="1" applyAlignment="1" applyProtection="1">
      <alignment horizontal="center" vertical="center" wrapText="1"/>
      <protection hidden="1"/>
    </xf>
    <xf numFmtId="0" fontId="67" fillId="7" borderId="1" xfId="0" applyFont="1" applyFill="1" applyBorder="1" applyAlignment="1" applyProtection="1">
      <alignment horizontal="center" vertical="center" wrapText="1"/>
      <protection hidden="1"/>
    </xf>
    <xf numFmtId="0" fontId="67" fillId="7" borderId="34" xfId="0" applyFont="1" applyFill="1" applyBorder="1" applyAlignment="1" applyProtection="1">
      <alignment horizontal="center" vertical="center" wrapText="1"/>
      <protection hidden="1"/>
    </xf>
    <xf numFmtId="164" fontId="67" fillId="7" borderId="0" xfId="0" applyNumberFormat="1" applyFont="1" applyFill="1" applyBorder="1" applyAlignment="1" applyProtection="1">
      <alignment horizontal="center" vertical="center"/>
      <protection hidden="1"/>
    </xf>
    <xf numFmtId="0" fontId="67" fillId="7" borderId="31" xfId="0" applyFont="1" applyFill="1" applyBorder="1" applyAlignment="1" applyProtection="1">
      <alignment horizontal="center" vertical="center"/>
      <protection hidden="1"/>
    </xf>
    <xf numFmtId="0" fontId="67" fillId="7" borderId="1" xfId="0" applyFont="1" applyFill="1" applyBorder="1" applyAlignment="1" applyProtection="1">
      <alignment horizontal="center" vertical="center"/>
      <protection hidden="1"/>
    </xf>
    <xf numFmtId="0" fontId="39" fillId="7" borderId="0" xfId="0" applyFont="1" applyFill="1" applyAlignment="1" applyProtection="1">
      <alignment horizontal="center" vertical="center"/>
      <protection hidden="1"/>
    </xf>
    <xf numFmtId="0" fontId="66" fillId="7" borderId="0" xfId="0" applyFont="1" applyFill="1" applyAlignment="1" applyProtection="1">
      <alignment horizontal="center" vertical="center"/>
      <protection hidden="1"/>
    </xf>
    <xf numFmtId="0" fontId="5" fillId="7" borderId="0" xfId="0" applyFont="1" applyFill="1" applyAlignment="1" applyProtection="1">
      <alignment horizontal="center" vertical="center"/>
      <protection hidden="1"/>
    </xf>
    <xf numFmtId="49" fontId="5" fillId="7" borderId="0" xfId="0" applyNumberFormat="1" applyFont="1" applyFill="1" applyAlignment="1" applyProtection="1">
      <alignment horizontal="center" vertical="center"/>
      <protection hidden="1"/>
    </xf>
    <xf numFmtId="2" fontId="67" fillId="7" borderId="35" xfId="0" applyNumberFormat="1" applyFont="1" applyFill="1" applyBorder="1" applyAlignment="1" applyProtection="1">
      <alignment horizontal="center" vertical="center" wrapText="1"/>
      <protection hidden="1"/>
    </xf>
    <xf numFmtId="2" fontId="67" fillId="7" borderId="36" xfId="0" applyNumberFormat="1" applyFont="1" applyFill="1" applyBorder="1" applyAlignment="1" applyProtection="1">
      <alignment horizontal="center" vertical="center" wrapText="1"/>
      <protection hidden="1"/>
    </xf>
    <xf numFmtId="0" fontId="67" fillId="7" borderId="30" xfId="0" applyFont="1" applyFill="1" applyBorder="1" applyAlignment="1" applyProtection="1">
      <alignment horizontal="center" vertical="center"/>
      <protection hidden="1"/>
    </xf>
    <xf numFmtId="0" fontId="67" fillId="7" borderId="33" xfId="0" applyFont="1" applyFill="1" applyBorder="1" applyAlignment="1" applyProtection="1">
      <alignment horizontal="center" vertical="center"/>
      <protection hidden="1"/>
    </xf>
    <xf numFmtId="0" fontId="67" fillId="7" borderId="36" xfId="0" applyFont="1" applyFill="1" applyBorder="1" applyAlignment="1" applyProtection="1">
      <alignment horizontal="center" vertical="center" textRotation="90"/>
      <protection hidden="1"/>
    </xf>
    <xf numFmtId="0" fontId="67" fillId="7" borderId="8" xfId="0" applyFont="1" applyFill="1" applyBorder="1" applyAlignment="1" applyProtection="1">
      <alignment horizontal="center" vertical="center"/>
      <protection hidden="1"/>
    </xf>
    <xf numFmtId="0" fontId="67" fillId="7" borderId="3" xfId="0" applyFont="1" applyFill="1" applyBorder="1" applyAlignment="1" applyProtection="1">
      <alignment horizontal="center" vertical="center"/>
      <protection hidden="1"/>
    </xf>
    <xf numFmtId="0" fontId="67" fillId="7" borderId="14" xfId="0" applyFont="1" applyFill="1" applyBorder="1" applyAlignment="1" applyProtection="1">
      <alignment horizontal="center" vertical="center"/>
      <protection hidden="1"/>
    </xf>
    <xf numFmtId="0" fontId="5" fillId="7" borderId="31" xfId="0" applyFont="1" applyFill="1" applyBorder="1" applyAlignment="1" applyProtection="1">
      <alignment horizontal="center" vertical="center"/>
      <protection hidden="1"/>
    </xf>
    <xf numFmtId="0" fontId="5" fillId="7" borderId="31" xfId="0" applyFont="1" applyFill="1" applyBorder="1" applyAlignment="1" applyProtection="1">
      <alignment horizontal="center" vertical="center" wrapText="1"/>
      <protection hidden="1"/>
    </xf>
    <xf numFmtId="0" fontId="5" fillId="7" borderId="1" xfId="0" applyFont="1" applyFill="1" applyBorder="1" applyAlignment="1" applyProtection="1">
      <alignment horizontal="center" vertical="center" wrapText="1"/>
      <protection hidden="1"/>
    </xf>
    <xf numFmtId="0" fontId="6" fillId="7" borderId="1" xfId="0" applyFont="1" applyFill="1" applyBorder="1" applyAlignment="1" applyProtection="1">
      <alignment horizontal="center" vertical="center" wrapText="1"/>
      <protection hidden="1"/>
    </xf>
    <xf numFmtId="0" fontId="40" fillId="7" borderId="31" xfId="0" applyFont="1" applyFill="1" applyBorder="1" applyAlignment="1" applyProtection="1">
      <alignment horizontal="center" vertical="center" textRotation="90" wrapText="1"/>
      <protection hidden="1"/>
    </xf>
    <xf numFmtId="0" fontId="40" fillId="7" borderId="1" xfId="0" applyFont="1" applyFill="1" applyBorder="1" applyAlignment="1" applyProtection="1">
      <alignment horizontal="center" vertical="center" textRotation="90" wrapText="1"/>
      <protection hidden="1"/>
    </xf>
    <xf numFmtId="0" fontId="6" fillId="7" borderId="31" xfId="0" applyFont="1" applyFill="1" applyBorder="1" applyAlignment="1" applyProtection="1">
      <alignment horizontal="center" vertical="center" textRotation="90" wrapText="1"/>
      <protection hidden="1"/>
    </xf>
    <xf numFmtId="0" fontId="6" fillId="7" borderId="32" xfId="0" applyFont="1" applyFill="1" applyBorder="1" applyAlignment="1" applyProtection="1">
      <alignment horizontal="center" vertical="center" textRotation="90" wrapText="1"/>
      <protection hidden="1"/>
    </xf>
    <xf numFmtId="0" fontId="6" fillId="7" borderId="1" xfId="0" applyFont="1" applyFill="1" applyBorder="1" applyAlignment="1" applyProtection="1">
      <alignment horizontal="center" vertical="center" textRotation="90" wrapText="1"/>
      <protection hidden="1"/>
    </xf>
    <xf numFmtId="0" fontId="6" fillId="7" borderId="34" xfId="0" applyFont="1" applyFill="1" applyBorder="1" applyAlignment="1" applyProtection="1">
      <alignment horizontal="center" vertical="center" textRotation="90" wrapText="1"/>
      <protection hidden="1"/>
    </xf>
    <xf numFmtId="0" fontId="6" fillId="7" borderId="1" xfId="0" applyFont="1" applyFill="1" applyBorder="1" applyAlignment="1" applyProtection="1">
      <alignment horizontal="center" vertical="center"/>
      <protection hidden="1"/>
    </xf>
    <xf numFmtId="2" fontId="67" fillId="7" borderId="37" xfId="0" applyNumberFormat="1" applyFont="1" applyFill="1" applyBorder="1" applyAlignment="1" applyProtection="1">
      <alignment horizontal="center" vertical="center" wrapText="1"/>
      <protection hidden="1"/>
    </xf>
    <xf numFmtId="0" fontId="5" fillId="7" borderId="40" xfId="0" applyFont="1" applyFill="1" applyBorder="1" applyAlignment="1" applyProtection="1">
      <alignment horizontal="center" vertical="center"/>
      <protection hidden="1"/>
    </xf>
    <xf numFmtId="0" fontId="5" fillId="7" borderId="28" xfId="0" applyFont="1" applyFill="1" applyBorder="1" applyAlignment="1" applyProtection="1">
      <alignment horizontal="center" vertical="center"/>
      <protection hidden="1"/>
    </xf>
    <xf numFmtId="0" fontId="5" fillId="7" borderId="59" xfId="0" applyFont="1" applyFill="1" applyBorder="1" applyAlignment="1" applyProtection="1">
      <alignment horizontal="center" vertical="center"/>
      <protection hidden="1"/>
    </xf>
    <xf numFmtId="0" fontId="5" fillId="7" borderId="32" xfId="0" applyFont="1" applyFill="1" applyBorder="1" applyAlignment="1" applyProtection="1">
      <alignment horizontal="center" vertical="center"/>
      <protection hidden="1"/>
    </xf>
    <xf numFmtId="0" fontId="6" fillId="7" borderId="34" xfId="0" applyFont="1" applyFill="1" applyBorder="1" applyAlignment="1" applyProtection="1">
      <alignment horizontal="center" vertical="center"/>
      <protection hidden="1"/>
    </xf>
    <xf numFmtId="0" fontId="37" fillId="7" borderId="0" xfId="0" applyFont="1" applyFill="1" applyAlignment="1" applyProtection="1">
      <alignment horizontal="center" vertical="center"/>
      <protection hidden="1"/>
    </xf>
    <xf numFmtId="0" fontId="181" fillId="7" borderId="36" xfId="0" applyFont="1" applyFill="1" applyBorder="1" applyAlignment="1" applyProtection="1">
      <alignment horizontal="center" vertical="center"/>
      <protection hidden="1"/>
    </xf>
    <xf numFmtId="165" fontId="67" fillId="7" borderId="36" xfId="0" applyNumberFormat="1" applyFont="1" applyFill="1" applyBorder="1" applyAlignment="1" applyProtection="1">
      <alignment horizontal="center" vertical="center"/>
      <protection hidden="1"/>
    </xf>
    <xf numFmtId="164" fontId="10" fillId="7" borderId="36" xfId="0" applyNumberFormat="1" applyFont="1" applyFill="1" applyBorder="1" applyAlignment="1" applyProtection="1">
      <alignment horizontal="center" vertical="top" textRotation="90"/>
      <protection hidden="1"/>
    </xf>
    <xf numFmtId="164" fontId="9" fillId="7" borderId="36" xfId="0" applyNumberFormat="1" applyFont="1" applyFill="1" applyBorder="1" applyAlignment="1" applyProtection="1">
      <alignment horizontal="center" vertical="top" textRotation="90"/>
      <protection hidden="1"/>
    </xf>
    <xf numFmtId="0" fontId="37" fillId="7" borderId="0" xfId="0" applyFont="1" applyFill="1" applyBorder="1" applyAlignment="1" applyProtection="1">
      <alignment horizontal="left" vertical="center"/>
      <protection hidden="1"/>
    </xf>
    <xf numFmtId="0" fontId="67" fillId="7" borderId="37" xfId="0" applyFont="1" applyFill="1" applyBorder="1" applyAlignment="1" applyProtection="1">
      <alignment horizontal="center" vertical="center"/>
      <protection hidden="1"/>
    </xf>
    <xf numFmtId="0" fontId="5" fillId="7" borderId="0" xfId="0" applyFont="1" applyFill="1" applyAlignment="1" applyProtection="1">
      <alignment horizontal="right" vertical="center"/>
      <protection hidden="1"/>
    </xf>
    <xf numFmtId="49" fontId="5" fillId="7" borderId="0" xfId="0" applyNumberFormat="1" applyFont="1" applyFill="1" applyAlignment="1" applyProtection="1">
      <alignment horizontal="left" vertical="center"/>
      <protection hidden="1"/>
    </xf>
    <xf numFmtId="49" fontId="67" fillId="7" borderId="1" xfId="0" applyNumberFormat="1" applyFont="1" applyFill="1" applyBorder="1" applyAlignment="1" applyProtection="1">
      <alignment horizontal="center" vertical="center"/>
      <protection hidden="1"/>
    </xf>
    <xf numFmtId="49" fontId="67" fillId="7" borderId="33" xfId="0" applyNumberFormat="1" applyFont="1" applyFill="1" applyBorder="1" applyAlignment="1" applyProtection="1">
      <alignment horizontal="center" vertical="center"/>
      <protection hidden="1"/>
    </xf>
    <xf numFmtId="0" fontId="178" fillId="7" borderId="40" xfId="0" applyFont="1" applyFill="1" applyBorder="1" applyAlignment="1" applyProtection="1">
      <alignment horizontal="center" vertical="center" wrapText="1"/>
      <protection hidden="1"/>
    </xf>
    <xf numFmtId="0" fontId="178" fillId="7" borderId="28" xfId="0" applyFont="1" applyFill="1" applyBorder="1" applyAlignment="1" applyProtection="1">
      <alignment horizontal="center" vertical="center" wrapText="1"/>
      <protection hidden="1"/>
    </xf>
    <xf numFmtId="0" fontId="178" fillId="7" borderId="59" xfId="0" applyFont="1" applyFill="1" applyBorder="1" applyAlignment="1" applyProtection="1">
      <alignment horizontal="center" vertical="center" wrapText="1"/>
      <protection hidden="1"/>
    </xf>
    <xf numFmtId="0" fontId="22" fillId="0" borderId="36" xfId="0" applyFont="1" applyBorder="1" applyAlignment="1" applyProtection="1">
      <alignment horizontal="center" vertical="center"/>
      <protection hidden="1"/>
    </xf>
    <xf numFmtId="0" fontId="164" fillId="7" borderId="35" xfId="0" applyFont="1" applyFill="1" applyBorder="1" applyAlignment="1" applyProtection="1">
      <alignment horizontal="center" vertical="center" wrapText="1"/>
      <protection hidden="1"/>
    </xf>
    <xf numFmtId="0" fontId="164" fillId="7" borderId="36" xfId="0" applyFont="1" applyFill="1" applyBorder="1" applyAlignment="1" applyProtection="1">
      <alignment horizontal="center" vertical="center" wrapText="1"/>
      <protection hidden="1"/>
    </xf>
    <xf numFmtId="0" fontId="5" fillId="7" borderId="2" xfId="0" applyFont="1" applyFill="1" applyBorder="1" applyAlignment="1" applyProtection="1">
      <alignment horizontal="center" vertical="center" wrapText="1"/>
      <protection hidden="1"/>
    </xf>
    <xf numFmtId="0" fontId="5" fillId="7" borderId="6" xfId="0" applyFont="1" applyFill="1" applyBorder="1" applyAlignment="1" applyProtection="1">
      <alignment horizontal="center" vertical="center" wrapText="1"/>
      <protection hidden="1"/>
    </xf>
    <xf numFmtId="0" fontId="5" fillId="7" borderId="9" xfId="0" applyFont="1" applyFill="1" applyBorder="1" applyAlignment="1" applyProtection="1">
      <alignment horizontal="center" vertical="center" wrapText="1"/>
      <protection hidden="1"/>
    </xf>
    <xf numFmtId="0" fontId="5" fillId="7" borderId="16" xfId="0" applyFont="1" applyFill="1" applyBorder="1" applyAlignment="1" applyProtection="1">
      <alignment horizontal="center" vertical="center" wrapText="1"/>
      <protection hidden="1"/>
    </xf>
    <xf numFmtId="0" fontId="5" fillId="7" borderId="4" xfId="0" applyFont="1" applyFill="1" applyBorder="1" applyAlignment="1" applyProtection="1">
      <alignment horizontal="center" vertical="center" wrapText="1"/>
      <protection hidden="1"/>
    </xf>
    <xf numFmtId="0" fontId="5" fillId="7" borderId="36" xfId="0" applyFont="1" applyFill="1" applyBorder="1" applyAlignment="1" applyProtection="1">
      <alignment horizontal="center" vertical="center" wrapText="1"/>
      <protection hidden="1"/>
    </xf>
    <xf numFmtId="0" fontId="45" fillId="2" borderId="15" xfId="0" applyFont="1" applyFill="1" applyBorder="1" applyAlignment="1" applyProtection="1">
      <alignment horizontal="center"/>
      <protection hidden="1"/>
    </xf>
    <xf numFmtId="0" fontId="44" fillId="2" borderId="15" xfId="0" applyFont="1" applyFill="1" applyBorder="1" applyAlignment="1" applyProtection="1">
      <alignment horizontal="center"/>
      <protection hidden="1"/>
    </xf>
    <xf numFmtId="0" fontId="191" fillId="2" borderId="15" xfId="0" applyFont="1" applyFill="1" applyBorder="1" applyAlignment="1" applyProtection="1">
      <alignment horizontal="center"/>
      <protection hidden="1"/>
    </xf>
    <xf numFmtId="0" fontId="184" fillId="0" borderId="0" xfId="0" applyFont="1" applyAlignment="1" applyProtection="1">
      <alignment horizontal="left" vertical="center"/>
      <protection hidden="1"/>
    </xf>
    <xf numFmtId="0" fontId="185" fillId="2" borderId="15" xfId="0" applyFont="1" applyFill="1" applyBorder="1" applyAlignment="1" applyProtection="1">
      <alignment horizontal="center"/>
      <protection hidden="1"/>
    </xf>
    <xf numFmtId="0" fontId="187" fillId="2" borderId="15" xfId="0" applyFont="1" applyFill="1" applyBorder="1" applyAlignment="1" applyProtection="1">
      <alignment horizontal="center"/>
      <protection hidden="1"/>
    </xf>
    <xf numFmtId="0" fontId="8" fillId="2" borderId="15" xfId="0" applyFont="1" applyFill="1" applyBorder="1" applyAlignment="1" applyProtection="1">
      <alignment horizontal="center"/>
      <protection hidden="1"/>
    </xf>
    <xf numFmtId="0" fontId="39" fillId="0" borderId="54" xfId="0" applyFont="1" applyBorder="1" applyAlignment="1">
      <alignment horizontal="center" vertical="center" wrapText="1"/>
    </xf>
    <xf numFmtId="0" fontId="5" fillId="0" borderId="72" xfId="0" applyFont="1" applyBorder="1" applyAlignment="1">
      <alignment horizontal="right" vertical="center"/>
    </xf>
    <xf numFmtId="0" fontId="5" fillId="0" borderId="73" xfId="0" applyFont="1" applyBorder="1" applyAlignment="1">
      <alignment horizontal="right" vertical="center"/>
    </xf>
    <xf numFmtId="0" fontId="5" fillId="0" borderId="74" xfId="0" applyFont="1" applyBorder="1" applyAlignment="1">
      <alignment horizontal="right" vertical="center"/>
    </xf>
    <xf numFmtId="0" fontId="5" fillId="0" borderId="72" xfId="0" applyFont="1" applyBorder="1" applyAlignment="1">
      <alignment horizontal="center" vertical="center"/>
    </xf>
    <xf numFmtId="0" fontId="5" fillId="0" borderId="73" xfId="0" applyFont="1" applyBorder="1" applyAlignment="1">
      <alignment horizontal="center" vertical="center"/>
    </xf>
    <xf numFmtId="0" fontId="178" fillId="0" borderId="0" xfId="0" applyFont="1" applyAlignment="1">
      <alignment horizontal="center" vertical="center"/>
    </xf>
    <xf numFmtId="0" fontId="39" fillId="0" borderId="0" xfId="0" applyFont="1" applyAlignment="1">
      <alignment horizontal="center" vertical="center"/>
    </xf>
    <xf numFmtId="0" fontId="0" fillId="0" borderId="0" xfId="0"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xf>
    <xf numFmtId="0" fontId="5" fillId="0" borderId="14"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11" xfId="0" applyFont="1" applyBorder="1" applyAlignment="1">
      <alignment horizontal="center" vertical="center"/>
    </xf>
    <xf numFmtId="0" fontId="5" fillId="0" borderId="5" xfId="0" applyFont="1" applyBorder="1" applyAlignment="1">
      <alignment horizontal="center" vertical="center"/>
    </xf>
    <xf numFmtId="0" fontId="11" fillId="2" borderId="0" xfId="0" applyFont="1" applyFill="1" applyBorder="1" applyAlignment="1" applyProtection="1">
      <alignment horizontal="center" vertical="center" wrapText="1"/>
      <protection hidden="1"/>
    </xf>
    <xf numFmtId="0" fontId="11" fillId="2" borderId="39" xfId="0" applyFont="1" applyFill="1" applyBorder="1" applyAlignment="1" applyProtection="1">
      <alignment horizontal="center" vertical="center" wrapText="1"/>
      <protection hidden="1"/>
    </xf>
    <xf numFmtId="0" fontId="182" fillId="0" borderId="14" xfId="0" applyFont="1" applyBorder="1" applyAlignment="1">
      <alignment horizontal="center"/>
    </xf>
    <xf numFmtId="0" fontId="182" fillId="0" borderId="0" xfId="0" applyFont="1" applyBorder="1" applyAlignment="1">
      <alignment horizontal="center"/>
    </xf>
    <xf numFmtId="0" fontId="37" fillId="0" borderId="0" xfId="0" applyFont="1" applyAlignment="1">
      <alignment horizontal="center" vertical="center"/>
    </xf>
    <xf numFmtId="0" fontId="195" fillId="0" borderId="0" xfId="0" applyFont="1" applyAlignment="1">
      <alignment horizontal="center" vertical="center"/>
    </xf>
    <xf numFmtId="0" fontId="0" fillId="0" borderId="0" xfId="0" applyAlignment="1">
      <alignment horizontal="left" vertical="center" wrapText="1"/>
    </xf>
    <xf numFmtId="0" fontId="214" fillId="0" borderId="0" xfId="0" applyFont="1" applyAlignment="1" applyProtection="1">
      <alignment horizontal="center" vertical="center"/>
      <protection hidden="1"/>
    </xf>
    <xf numFmtId="0" fontId="13" fillId="0" borderId="0" xfId="0" applyFont="1" applyAlignment="1" applyProtection="1">
      <alignment horizontal="center" vertical="center" wrapText="1"/>
      <protection hidden="1"/>
    </xf>
    <xf numFmtId="0" fontId="77" fillId="7" borderId="28" xfId="0" applyFont="1" applyFill="1" applyBorder="1" applyAlignment="1" applyProtection="1">
      <alignment horizontal="left" vertical="center" wrapText="1"/>
      <protection hidden="1"/>
    </xf>
    <xf numFmtId="0" fontId="37" fillId="7" borderId="0" xfId="0" applyFont="1" applyFill="1" applyAlignment="1" applyProtection="1">
      <alignment horizontal="center"/>
      <protection hidden="1"/>
    </xf>
    <xf numFmtId="0" fontId="41" fillId="7" borderId="56" xfId="0" applyFont="1" applyFill="1" applyBorder="1" applyAlignment="1" applyProtection="1">
      <alignment horizontal="left" vertical="center" wrapText="1"/>
      <protection hidden="1"/>
    </xf>
    <xf numFmtId="0" fontId="41" fillId="7" borderId="58" xfId="0" applyFont="1" applyFill="1" applyBorder="1" applyAlignment="1" applyProtection="1">
      <alignment horizontal="left" vertical="center" wrapText="1"/>
      <protection hidden="1"/>
    </xf>
    <xf numFmtId="49" fontId="182" fillId="7" borderId="0" xfId="0" applyNumberFormat="1" applyFont="1" applyFill="1" applyAlignment="1" applyProtection="1">
      <alignment horizontal="center" vertical="center"/>
      <protection hidden="1"/>
    </xf>
    <xf numFmtId="0" fontId="182" fillId="7" borderId="0" xfId="0" applyFont="1" applyFill="1" applyAlignment="1" applyProtection="1">
      <alignment horizontal="center" vertical="center"/>
      <protection hidden="1"/>
    </xf>
    <xf numFmtId="0" fontId="164" fillId="7" borderId="75" xfId="0" applyFont="1" applyFill="1" applyBorder="1" applyAlignment="1" applyProtection="1">
      <alignment horizontal="right"/>
      <protection hidden="1"/>
    </xf>
    <xf numFmtId="0" fontId="164" fillId="7" borderId="60" xfId="0" applyFont="1" applyFill="1" applyBorder="1" applyAlignment="1" applyProtection="1">
      <alignment horizontal="right"/>
      <protection hidden="1"/>
    </xf>
    <xf numFmtId="2" fontId="164" fillId="7" borderId="60" xfId="0" applyNumberFormat="1" applyFont="1" applyFill="1" applyBorder="1" applyAlignment="1" applyProtection="1">
      <alignment horizontal="left"/>
      <protection hidden="1"/>
    </xf>
    <xf numFmtId="0" fontId="164" fillId="7" borderId="76" xfId="0" applyFont="1" applyFill="1" applyBorder="1" applyAlignment="1" applyProtection="1">
      <alignment horizontal="left"/>
      <protection hidden="1"/>
    </xf>
    <xf numFmtId="0" fontId="164" fillId="7" borderId="0" xfId="0" applyFont="1" applyFill="1" applyAlignment="1" applyProtection="1">
      <alignment horizontal="center" vertical="center"/>
      <protection hidden="1"/>
    </xf>
    <xf numFmtId="0" fontId="39" fillId="7" borderId="40" xfId="0" applyFont="1" applyFill="1" applyBorder="1" applyAlignment="1" applyProtection="1">
      <alignment horizontal="left" vertical="center"/>
      <protection hidden="1"/>
    </xf>
    <xf numFmtId="0" fontId="39" fillId="7" borderId="28" xfId="0" applyFont="1" applyFill="1" applyBorder="1" applyAlignment="1" applyProtection="1">
      <alignment horizontal="left" vertical="center"/>
      <protection hidden="1"/>
    </xf>
    <xf numFmtId="0" fontId="5" fillId="7" borderId="30" xfId="0" applyFont="1" applyFill="1" applyBorder="1" applyAlignment="1" applyProtection="1">
      <alignment horizontal="center" vertical="center" wrapText="1"/>
      <protection hidden="1"/>
    </xf>
    <xf numFmtId="0" fontId="5" fillId="7" borderId="35" xfId="0" applyFont="1" applyFill="1" applyBorder="1" applyAlignment="1" applyProtection="1">
      <alignment horizontal="center" vertical="center" wrapText="1"/>
      <protection hidden="1"/>
    </xf>
    <xf numFmtId="0" fontId="5" fillId="7" borderId="32" xfId="0" applyFont="1" applyFill="1" applyBorder="1" applyAlignment="1" applyProtection="1">
      <alignment horizontal="center" vertical="center" wrapText="1"/>
      <protection hidden="1"/>
    </xf>
    <xf numFmtId="0" fontId="5" fillId="7" borderId="37" xfId="0" applyFont="1" applyFill="1" applyBorder="1" applyAlignment="1" applyProtection="1">
      <alignment horizontal="center" vertical="center" wrapText="1"/>
      <protection hidden="1"/>
    </xf>
    <xf numFmtId="0" fontId="39" fillId="7" borderId="36" xfId="0" applyFont="1" applyFill="1" applyBorder="1" applyAlignment="1" applyProtection="1">
      <alignment horizontal="center" vertical="center" wrapText="1"/>
      <protection hidden="1"/>
    </xf>
  </cellXfs>
  <cellStyles count="1">
    <cellStyle name="Normal" xfId="0" builtinId="0"/>
  </cellStyles>
  <dxfs count="23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14996795556505021"/>
      </font>
      <fill>
        <patternFill>
          <bgColor theme="0" tint="-0.14996795556505021"/>
        </patternFill>
      </fill>
      <border>
        <left/>
        <right/>
        <top/>
        <bottom/>
        <vertical/>
        <horizontal/>
      </border>
    </dxf>
    <dxf>
      <font>
        <color rgb="FFCCECFF"/>
      </font>
    </dxf>
    <dxf>
      <font>
        <color rgb="FFCCECFF"/>
      </font>
    </dxf>
    <dxf>
      <font>
        <color rgb="FFCCECFF"/>
      </font>
    </dxf>
    <dxf>
      <font>
        <color rgb="FFCCECFF"/>
      </font>
    </dxf>
    <dxf>
      <font>
        <color rgb="FFCCECFF"/>
      </font>
    </dxf>
    <dxf>
      <font>
        <color theme="2" tint="-9.9948118533890809E-2"/>
      </font>
    </dxf>
    <dxf>
      <font>
        <color rgb="FFCCECFF"/>
      </font>
    </dxf>
    <dxf>
      <font>
        <color theme="2" tint="-9.9948118533890809E-2"/>
      </font>
    </dxf>
    <dxf>
      <font>
        <color rgb="FFCCECFF"/>
      </font>
    </dxf>
    <dxf>
      <font>
        <color theme="2" tint="-9.9948118533890809E-2"/>
      </font>
    </dxf>
    <dxf>
      <font>
        <color theme="0"/>
      </font>
    </dxf>
    <dxf>
      <font>
        <color theme="0"/>
      </font>
      <fill>
        <patternFill>
          <bgColor theme="0"/>
        </patternFill>
      </fill>
    </dxf>
    <dxf>
      <font>
        <color theme="0"/>
      </font>
      <fill>
        <patternFill>
          <bgColor theme="0"/>
        </patternFill>
      </fill>
      <border>
        <left/>
        <right/>
        <top/>
        <bottom/>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theme="0"/>
        </patternFill>
      </fill>
      <border>
        <left/>
        <right/>
        <top/>
        <bottom/>
        <vertical/>
        <horizontal/>
      </border>
    </dxf>
    <dxf>
      <font>
        <color rgb="FF0000CC"/>
      </font>
    </dxf>
    <dxf>
      <font>
        <color rgb="FF006600"/>
      </font>
    </dxf>
    <dxf>
      <font>
        <color rgb="FFC00000"/>
      </font>
    </dxf>
    <dxf>
      <font>
        <color theme="5" tint="0.79998168889431442"/>
      </font>
      <fill>
        <patternFill>
          <bgColor theme="5" tint="0.79998168889431442"/>
        </patternFill>
      </fill>
    </dxf>
    <dxf>
      <font>
        <color theme="0"/>
      </font>
    </dxf>
    <dxf>
      <font>
        <color theme="0" tint="-0.14996795556505021"/>
      </font>
      <fill>
        <patternFill>
          <bgColor theme="0" tint="-0.14996795556505021"/>
        </patternFill>
      </fill>
      <border>
        <left/>
        <right/>
        <top/>
        <bottom/>
        <vertical/>
        <horizontal/>
      </border>
    </dxf>
    <dxf>
      <font>
        <color theme="9" tint="0.59996337778862885"/>
      </font>
    </dxf>
    <dxf>
      <font>
        <color theme="6" tint="0.59996337778862885"/>
      </font>
    </dxf>
    <dxf>
      <font>
        <color theme="9" tint="0.59996337778862885"/>
      </font>
    </dxf>
    <dxf>
      <font>
        <color theme="6" tint="0.59996337778862885"/>
      </font>
    </dxf>
    <dxf>
      <fill>
        <patternFill patternType="darkGrid">
          <fgColor theme="9" tint="0.59996337778862885"/>
          <bgColor theme="9" tint="0.79995117038483843"/>
        </patternFill>
      </fill>
    </dxf>
    <dxf>
      <font>
        <color theme="9" tint="0.39994506668294322"/>
      </font>
    </dxf>
    <dxf>
      <font>
        <color rgb="FFFFFF99"/>
      </font>
    </dxf>
    <dxf>
      <font>
        <color theme="0" tint="-4.9989318521683403E-2"/>
      </font>
    </dxf>
    <dxf>
      <font>
        <color rgb="FFFFFF99"/>
      </font>
    </dxf>
    <dxf>
      <font>
        <color theme="0" tint="-4.9989318521683403E-2"/>
      </font>
    </dxf>
    <dxf>
      <font>
        <color theme="0" tint="-0.24994659260841701"/>
      </font>
      <fill>
        <patternFill>
          <bgColor theme="0" tint="-0.24994659260841701"/>
        </patternFill>
      </fill>
      <border>
        <left/>
        <right/>
        <top/>
        <bottom/>
        <vertical/>
        <horizontal/>
      </border>
    </dxf>
    <dxf>
      <fill>
        <patternFill patternType="lightHorizontal">
          <fgColor rgb="FFFFFF99"/>
          <bgColor auto="1"/>
        </patternFill>
      </fill>
    </dxf>
    <dxf>
      <fill>
        <patternFill patternType="lightVertical">
          <fgColor rgb="FF99FF33"/>
        </patternFill>
      </fill>
    </dxf>
    <dxf>
      <font>
        <color rgb="FF92D050"/>
      </font>
    </dxf>
    <dxf>
      <fill>
        <gradientFill type="path" left="0.5" right="0.5" top="0.5" bottom="0.5">
          <stop position="0">
            <color theme="0"/>
          </stop>
          <stop position="1">
            <color rgb="FFFFCCFF"/>
          </stop>
        </gradientFill>
      </fill>
    </dxf>
    <dxf>
      <fill>
        <gradientFill type="path" left="0.5" right="0.5" top="0.5" bottom="0.5">
          <stop position="0">
            <color theme="0"/>
          </stop>
          <stop position="1">
            <color theme="3" tint="0.80001220740379042"/>
          </stop>
        </gradientFill>
      </fill>
    </dxf>
    <dxf>
      <font>
        <color theme="0"/>
      </font>
    </dxf>
    <dxf>
      <font>
        <color theme="0" tint="-0.24994659260841701"/>
      </font>
      <fill>
        <patternFill>
          <bgColor theme="0" tint="-0.24994659260841701"/>
        </patternFill>
      </fill>
      <border>
        <left/>
        <right/>
        <top/>
        <bottom/>
        <vertical/>
        <horizontal/>
      </border>
    </dxf>
    <dxf>
      <font>
        <color theme="0" tint="-0.24994659260841701"/>
      </font>
      <fill>
        <patternFill>
          <bgColor theme="0" tint="-0.24994659260841701"/>
        </patternFill>
      </fill>
      <border>
        <left/>
        <right/>
        <top/>
        <bottom/>
        <vertical/>
        <horizontal/>
      </border>
    </dxf>
    <dxf>
      <font>
        <color theme="3" tint="0.79998168889431442"/>
      </font>
    </dxf>
    <dxf>
      <font>
        <color theme="9" tint="0.59996337778862885"/>
      </font>
    </dxf>
    <dxf>
      <font>
        <color rgb="FFFFCCFF"/>
      </font>
    </dxf>
    <dxf>
      <font>
        <color theme="8" tint="0.79998168889431442"/>
      </font>
    </dxf>
    <dxf>
      <font>
        <color theme="6" tint="0.59996337778862885"/>
      </font>
    </dxf>
    <dxf>
      <font>
        <color rgb="FFFFFFCC"/>
      </font>
    </dxf>
    <dxf>
      <font>
        <color theme="3" tint="0.79998168889431442"/>
      </font>
    </dxf>
    <dxf>
      <font>
        <color theme="9" tint="0.59996337778862885"/>
      </font>
    </dxf>
    <dxf>
      <font>
        <color rgb="FFFFCCFF"/>
      </font>
    </dxf>
    <dxf>
      <font>
        <color theme="8" tint="0.79998168889431442"/>
      </font>
    </dxf>
    <dxf>
      <font>
        <color theme="6" tint="0.59996337778862885"/>
      </font>
    </dxf>
    <dxf>
      <font>
        <color rgb="FFFFFFCC"/>
      </font>
    </dxf>
    <dxf>
      <font>
        <color theme="0"/>
      </font>
      <fill>
        <patternFill>
          <bgColor theme="0"/>
        </patternFill>
      </fill>
      <border>
        <left/>
        <right/>
        <top/>
        <bottom/>
        <vertical/>
        <horizontal/>
      </border>
    </dxf>
    <dxf>
      <font>
        <color theme="8" tint="0.79998168889431442"/>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3" tint="0.79998168889431442"/>
      </font>
    </dxf>
    <dxf>
      <font>
        <color theme="9" tint="0.59996337778862885"/>
      </font>
    </dxf>
    <dxf>
      <font>
        <color rgb="FFFFCCFF"/>
      </font>
    </dxf>
    <dxf>
      <font>
        <color theme="6" tint="0.59996337778862885"/>
      </font>
    </dxf>
    <dxf>
      <font>
        <color rgb="FFFFFFCC"/>
      </font>
    </dxf>
    <dxf>
      <font>
        <color theme="0"/>
      </font>
      <fill>
        <patternFill>
          <bgColor theme="0"/>
        </patternFill>
      </fill>
      <border>
        <left/>
        <right/>
        <top/>
        <bottom/>
        <vertical/>
        <horizontal/>
      </border>
    </dxf>
    <dxf>
      <font>
        <color theme="8" tint="0.79998168889431442"/>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3" tint="0.79998168889431442"/>
      </font>
    </dxf>
    <dxf>
      <font>
        <color theme="9" tint="0.59996337778862885"/>
      </font>
    </dxf>
    <dxf>
      <font>
        <color rgb="FFFFCCFF"/>
      </font>
    </dxf>
    <dxf>
      <font>
        <color theme="6" tint="0.59996337778862885"/>
      </font>
    </dxf>
    <dxf>
      <font>
        <color rgb="FFFFFFCC"/>
      </font>
    </dxf>
    <dxf>
      <font>
        <color theme="0"/>
      </font>
    </dxf>
    <dxf>
      <font>
        <color theme="0"/>
      </font>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theme="7" tint="0.79998168889431442"/>
      </font>
    </dxf>
    <dxf>
      <font>
        <color theme="6" tint="0.59996337778862885"/>
      </font>
    </dxf>
    <dxf>
      <font>
        <color theme="7" tint="0.79998168889431442"/>
      </font>
    </dxf>
    <dxf>
      <font>
        <color theme="6" tint="0.59996337778862885"/>
      </font>
    </dxf>
    <dxf>
      <font>
        <color rgb="FFFFCCFF"/>
      </font>
    </dxf>
    <dxf>
      <font>
        <color theme="7" tint="0.79998168889431442"/>
      </font>
    </dxf>
    <dxf>
      <font>
        <color theme="6" tint="0.59996337778862885"/>
      </font>
    </dxf>
    <dxf>
      <font>
        <color rgb="FFFFCCFF"/>
      </font>
    </dxf>
    <dxf>
      <font>
        <color theme="7" tint="0.79998168889431442"/>
      </font>
    </dxf>
    <dxf>
      <font>
        <color theme="6" tint="0.59996337778862885"/>
      </font>
    </dxf>
    <dxf>
      <font>
        <color theme="0" tint="-0.24994659260841701"/>
      </font>
      <fill>
        <patternFill>
          <bgColor theme="0" tint="-0.24994659260841701"/>
        </patternFill>
      </fill>
      <border>
        <left/>
        <right/>
        <top/>
        <bottom/>
        <vertical/>
        <horizontal/>
      </border>
    </dxf>
    <dxf>
      <font>
        <color theme="7" tint="0.79998168889431442"/>
      </font>
    </dxf>
    <dxf>
      <font>
        <color theme="6" tint="0.59996337778862885"/>
      </font>
    </dxf>
    <dxf>
      <font>
        <color rgb="FFFFCCFF"/>
      </font>
    </dxf>
    <dxf>
      <font>
        <color theme="7" tint="0.79998168889431442"/>
      </font>
    </dxf>
    <dxf>
      <font>
        <color theme="6" tint="0.59996337778862885"/>
      </font>
    </dxf>
    <dxf>
      <font>
        <color rgb="FFFFCCFF"/>
      </font>
    </dxf>
    <dxf>
      <font>
        <color theme="7" tint="0.79998168889431442"/>
      </font>
    </dxf>
    <dxf>
      <font>
        <color theme="6" tint="0.59996337778862885"/>
      </font>
    </dxf>
    <dxf>
      <font>
        <color rgb="FFFFCCFF"/>
      </font>
    </dxf>
    <dxf>
      <font>
        <color theme="7" tint="0.79998168889431442"/>
      </font>
    </dxf>
    <dxf>
      <font>
        <color theme="6" tint="0.59996337778862885"/>
      </font>
    </dxf>
    <dxf>
      <fill>
        <patternFill patternType="lightHorizontal">
          <fgColor rgb="FFFFCCFF"/>
        </patternFill>
      </fill>
    </dxf>
    <dxf>
      <fill>
        <patternFill patternType="darkGrid">
          <fgColor theme="6" tint="0.39994506668294322"/>
        </patternFill>
      </fill>
    </dxf>
    <dxf>
      <fill>
        <patternFill patternType="lightVertical">
          <fgColor theme="7" tint="0.59996337778862885"/>
        </patternFill>
      </fill>
    </dxf>
    <dxf>
      <font>
        <color rgb="FFFF99FF"/>
      </font>
    </dxf>
    <dxf>
      <font>
        <color rgb="FF92D050"/>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rgb="FFFFCCFF"/>
      </font>
    </dxf>
    <dxf>
      <font>
        <color rgb="FFFFCCFF"/>
      </font>
    </dxf>
    <dxf>
      <font>
        <color rgb="FFFFCCFF"/>
      </font>
    </dxf>
    <dxf>
      <font>
        <color rgb="FFFFCCFF"/>
      </font>
    </dxf>
    <dxf>
      <font>
        <color rgb="FFFFCCFF"/>
      </font>
    </dxf>
    <dxf>
      <font>
        <color rgb="FFFFCCFF"/>
      </font>
    </dxf>
    <dxf>
      <font>
        <color rgb="FFFFCCFF"/>
      </font>
    </dxf>
    <dxf>
      <font>
        <color rgb="FFFFCCFF"/>
      </font>
    </dxf>
    <dxf>
      <font>
        <color rgb="FFFFCCFF"/>
      </font>
    </dxf>
    <dxf>
      <font>
        <color rgb="FFFFCCFF"/>
      </font>
    </dxf>
    <dxf>
      <font>
        <color rgb="FFFFCCFF"/>
      </font>
    </dxf>
    <dxf>
      <font>
        <color rgb="FFFFCCFF"/>
      </font>
    </dxf>
    <dxf>
      <fill>
        <patternFill>
          <bgColor rgb="FFFFCCFF"/>
        </patternFill>
      </fill>
    </dxf>
    <dxf>
      <font>
        <color theme="0" tint="-0.24994659260841701"/>
      </font>
      <fill>
        <patternFill>
          <bgColor theme="0" tint="-0.24994659260841701"/>
        </patternFill>
      </fill>
      <border>
        <left/>
        <right/>
        <top/>
        <bottom/>
        <vertical/>
        <horizontal/>
      </border>
    </dxf>
  </dxfs>
  <tableStyles count="0" defaultTableStyle="TableStyleMedium2" defaultPivotStyle="PivotStyleMedium9"/>
  <colors>
    <mruColors>
      <color rgb="FF99FF33"/>
      <color rgb="FFFFFF99"/>
      <color rgb="FFCC0099"/>
      <color rgb="FF0000CC"/>
      <color rgb="FF006600"/>
      <color rgb="FFCCFF99"/>
      <color rgb="FFFF99FF"/>
      <color rgb="FFFFCCFF"/>
      <color rgb="FF00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4.9989318521683403E-2"/>
  </sheetPr>
  <dimension ref="A1:V52"/>
  <sheetViews>
    <sheetView tabSelected="1"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B22" sqref="B22:U22"/>
    </sheetView>
  </sheetViews>
  <sheetFormatPr defaultRowHeight="15" x14ac:dyDescent="0.25"/>
  <cols>
    <col min="1" max="1" width="2.28515625" style="3" customWidth="1"/>
    <col min="2" max="21" width="8.7109375" style="3" customWidth="1"/>
    <col min="22" max="22" width="2.28515625" style="3" customWidth="1"/>
    <col min="23" max="16384" width="9.140625" style="3"/>
  </cols>
  <sheetData>
    <row r="1" spans="1:22" ht="9.9499999999999993" customHeight="1" x14ac:dyDescent="0.25">
      <c r="A1" s="413"/>
      <c r="B1" s="413"/>
      <c r="C1" s="413"/>
      <c r="D1" s="413"/>
      <c r="E1" s="413"/>
      <c r="F1" s="413"/>
      <c r="G1" s="413"/>
      <c r="H1" s="413"/>
      <c r="I1" s="413"/>
      <c r="J1" s="413"/>
      <c r="K1" s="413"/>
      <c r="L1" s="413"/>
      <c r="M1" s="413"/>
      <c r="N1" s="413"/>
      <c r="O1" s="413"/>
      <c r="P1" s="413"/>
      <c r="Q1" s="413"/>
      <c r="R1" s="413"/>
      <c r="S1" s="413"/>
      <c r="T1" s="413"/>
      <c r="U1" s="413"/>
      <c r="V1" s="413"/>
    </row>
    <row r="2" spans="1:22" ht="23.25" x14ac:dyDescent="0.25">
      <c r="A2" s="414"/>
      <c r="B2" s="535" t="s">
        <v>380</v>
      </c>
      <c r="C2" s="535"/>
      <c r="D2" s="535"/>
      <c r="E2" s="535"/>
      <c r="F2" s="535"/>
      <c r="G2" s="535"/>
      <c r="H2" s="535"/>
      <c r="I2" s="535"/>
      <c r="J2" s="535"/>
      <c r="K2" s="535"/>
      <c r="L2" s="535"/>
      <c r="M2" s="535"/>
      <c r="N2" s="535"/>
      <c r="O2" s="535"/>
      <c r="P2" s="535"/>
      <c r="Q2" s="535"/>
      <c r="R2" s="535"/>
      <c r="S2" s="535"/>
      <c r="T2" s="535"/>
      <c r="U2" s="535"/>
      <c r="V2" s="413"/>
    </row>
    <row r="3" spans="1:22" ht="18" x14ac:dyDescent="0.25">
      <c r="A3" s="414"/>
      <c r="B3" s="415"/>
      <c r="C3" s="415"/>
      <c r="D3" s="415"/>
      <c r="E3" s="415"/>
      <c r="F3" s="533" t="s">
        <v>382</v>
      </c>
      <c r="G3" s="533"/>
      <c r="H3" s="533"/>
      <c r="I3" s="533"/>
      <c r="J3" s="533"/>
      <c r="K3" s="533"/>
      <c r="L3" s="533"/>
      <c r="M3" s="533"/>
      <c r="N3" s="533"/>
      <c r="O3" s="533"/>
      <c r="P3" s="533"/>
      <c r="Q3" s="533"/>
      <c r="R3" s="533"/>
      <c r="S3" s="415"/>
      <c r="T3" s="415"/>
      <c r="U3" s="415"/>
      <c r="V3" s="413"/>
    </row>
    <row r="4" spans="1:22" ht="27" thickBot="1" x14ac:dyDescent="0.3">
      <c r="A4" s="413"/>
      <c r="B4" s="416"/>
      <c r="C4" s="416"/>
      <c r="D4" s="416"/>
      <c r="E4" s="416"/>
      <c r="F4" s="416"/>
      <c r="G4" s="416"/>
      <c r="H4" s="416"/>
      <c r="I4" s="416"/>
      <c r="J4" s="532" t="s">
        <v>379</v>
      </c>
      <c r="K4" s="532"/>
      <c r="L4" s="532"/>
      <c r="M4" s="532"/>
      <c r="N4" s="532"/>
      <c r="O4" s="416"/>
      <c r="P4" s="416"/>
      <c r="Q4" s="416"/>
      <c r="R4" s="416"/>
      <c r="S4" s="416"/>
      <c r="T4" s="416"/>
      <c r="U4" s="416"/>
      <c r="V4" s="413"/>
    </row>
    <row r="5" spans="1:22" ht="20.100000000000001" customHeight="1" thickBot="1" x14ac:dyDescent="0.3">
      <c r="A5" s="413"/>
      <c r="B5" s="529" t="s">
        <v>381</v>
      </c>
      <c r="C5" s="530"/>
      <c r="D5" s="530"/>
      <c r="E5" s="530"/>
      <c r="F5" s="530"/>
      <c r="G5" s="530"/>
      <c r="H5" s="530"/>
      <c r="I5" s="530"/>
      <c r="J5" s="530"/>
      <c r="K5" s="530"/>
      <c r="L5" s="530"/>
      <c r="M5" s="530"/>
      <c r="N5" s="530"/>
      <c r="O5" s="530"/>
      <c r="P5" s="530"/>
      <c r="Q5" s="530"/>
      <c r="R5" s="530"/>
      <c r="S5" s="530"/>
      <c r="T5" s="530"/>
      <c r="U5" s="531"/>
      <c r="V5" s="413"/>
    </row>
    <row r="6" spans="1:22" ht="9.9499999999999993" customHeight="1" x14ac:dyDescent="0.25">
      <c r="A6" s="413"/>
      <c r="B6" s="417"/>
      <c r="C6" s="417"/>
      <c r="D6" s="417"/>
      <c r="E6" s="417"/>
      <c r="F6" s="417"/>
      <c r="G6" s="417"/>
      <c r="H6" s="417"/>
      <c r="I6" s="417"/>
      <c r="J6" s="417"/>
      <c r="K6" s="417"/>
      <c r="L6" s="417"/>
      <c r="M6" s="417"/>
      <c r="N6" s="417"/>
      <c r="O6" s="417"/>
      <c r="P6" s="417"/>
      <c r="Q6" s="417"/>
      <c r="R6" s="417"/>
      <c r="S6" s="417"/>
      <c r="T6" s="417"/>
      <c r="U6" s="417"/>
      <c r="V6" s="413"/>
    </row>
    <row r="7" spans="1:22" ht="27" thickBot="1" x14ac:dyDescent="0.3">
      <c r="A7" s="413"/>
      <c r="B7" s="418"/>
      <c r="C7" s="418"/>
      <c r="D7" s="418"/>
      <c r="E7" s="418"/>
      <c r="F7" s="418"/>
      <c r="G7" s="418"/>
      <c r="H7" s="418"/>
      <c r="I7" s="418"/>
      <c r="J7" s="534" t="s">
        <v>383</v>
      </c>
      <c r="K7" s="534"/>
      <c r="L7" s="534"/>
      <c r="M7" s="534"/>
      <c r="N7" s="534"/>
      <c r="O7" s="418"/>
      <c r="P7" s="418"/>
      <c r="Q7" s="418"/>
      <c r="R7" s="418"/>
      <c r="S7" s="418"/>
      <c r="T7" s="418"/>
      <c r="U7" s="418"/>
      <c r="V7" s="413"/>
    </row>
    <row r="8" spans="1:22" ht="20.100000000000001" customHeight="1" x14ac:dyDescent="0.25">
      <c r="A8" s="413"/>
      <c r="B8" s="513" t="s">
        <v>384</v>
      </c>
      <c r="C8" s="514"/>
      <c r="D8" s="514"/>
      <c r="E8" s="514"/>
      <c r="F8" s="514"/>
      <c r="G8" s="514"/>
      <c r="H8" s="514"/>
      <c r="I8" s="514"/>
      <c r="J8" s="514"/>
      <c r="K8" s="514"/>
      <c r="L8" s="514"/>
      <c r="M8" s="514"/>
      <c r="N8" s="514"/>
      <c r="O8" s="514"/>
      <c r="P8" s="514"/>
      <c r="Q8" s="514"/>
      <c r="R8" s="514"/>
      <c r="S8" s="514"/>
      <c r="T8" s="514"/>
      <c r="U8" s="515"/>
      <c r="V8" s="413"/>
    </row>
    <row r="9" spans="1:22" ht="20.100000000000001" customHeight="1" thickBot="1" x14ac:dyDescent="0.3">
      <c r="A9" s="413"/>
      <c r="B9" s="516" t="s">
        <v>385</v>
      </c>
      <c r="C9" s="517"/>
      <c r="D9" s="517"/>
      <c r="E9" s="517"/>
      <c r="F9" s="517"/>
      <c r="G9" s="517"/>
      <c r="H9" s="517"/>
      <c r="I9" s="517"/>
      <c r="J9" s="517"/>
      <c r="K9" s="517"/>
      <c r="L9" s="517"/>
      <c r="M9" s="517"/>
      <c r="N9" s="517"/>
      <c r="O9" s="517"/>
      <c r="P9" s="517"/>
      <c r="Q9" s="517"/>
      <c r="R9" s="517"/>
      <c r="S9" s="517"/>
      <c r="T9" s="517"/>
      <c r="U9" s="518"/>
      <c r="V9" s="413"/>
    </row>
    <row r="10" spans="1:22" ht="9.9499999999999993" customHeight="1" x14ac:dyDescent="0.25">
      <c r="A10" s="413"/>
      <c r="B10" s="417"/>
      <c r="C10" s="417"/>
      <c r="D10" s="417"/>
      <c r="E10" s="417"/>
      <c r="F10" s="417"/>
      <c r="G10" s="417"/>
      <c r="H10" s="417"/>
      <c r="I10" s="417"/>
      <c r="J10" s="417"/>
      <c r="K10" s="417"/>
      <c r="L10" s="417"/>
      <c r="M10" s="417"/>
      <c r="N10" s="417"/>
      <c r="O10" s="417"/>
      <c r="P10" s="417"/>
      <c r="Q10" s="417"/>
      <c r="R10" s="417"/>
      <c r="S10" s="417"/>
      <c r="T10" s="417"/>
      <c r="U10" s="417"/>
      <c r="V10" s="413"/>
    </row>
    <row r="11" spans="1:22" ht="27" thickBot="1" x14ac:dyDescent="0.3">
      <c r="A11" s="413"/>
      <c r="B11" s="418"/>
      <c r="C11" s="418"/>
      <c r="D11" s="418"/>
      <c r="E11" s="418"/>
      <c r="F11" s="418"/>
      <c r="G11" s="418"/>
      <c r="H11" s="418"/>
      <c r="I11" s="418"/>
      <c r="J11" s="528" t="s">
        <v>386</v>
      </c>
      <c r="K11" s="528"/>
      <c r="L11" s="528"/>
      <c r="M11" s="528"/>
      <c r="N11" s="528"/>
      <c r="O11" s="418"/>
      <c r="P11" s="418"/>
      <c r="Q11" s="418"/>
      <c r="R11" s="418"/>
      <c r="S11" s="418"/>
      <c r="T11" s="418"/>
      <c r="U11" s="418"/>
      <c r="V11" s="413"/>
    </row>
    <row r="12" spans="1:22" ht="39.950000000000003" customHeight="1" x14ac:dyDescent="0.25">
      <c r="A12" s="413"/>
      <c r="B12" s="519" t="s">
        <v>388</v>
      </c>
      <c r="C12" s="520"/>
      <c r="D12" s="520"/>
      <c r="E12" s="520"/>
      <c r="F12" s="520"/>
      <c r="G12" s="520"/>
      <c r="H12" s="520"/>
      <c r="I12" s="520"/>
      <c r="J12" s="520"/>
      <c r="K12" s="520"/>
      <c r="L12" s="520"/>
      <c r="M12" s="520"/>
      <c r="N12" s="520"/>
      <c r="O12" s="520"/>
      <c r="P12" s="520"/>
      <c r="Q12" s="520"/>
      <c r="R12" s="520"/>
      <c r="S12" s="520"/>
      <c r="T12" s="520"/>
      <c r="U12" s="521"/>
      <c r="V12" s="413"/>
    </row>
    <row r="13" spans="1:22" ht="39.950000000000003" customHeight="1" x14ac:dyDescent="0.25">
      <c r="A13" s="413"/>
      <c r="B13" s="522" t="s">
        <v>387</v>
      </c>
      <c r="C13" s="523"/>
      <c r="D13" s="523"/>
      <c r="E13" s="523"/>
      <c r="F13" s="523"/>
      <c r="G13" s="523"/>
      <c r="H13" s="523"/>
      <c r="I13" s="523"/>
      <c r="J13" s="523"/>
      <c r="K13" s="523"/>
      <c r="L13" s="523"/>
      <c r="M13" s="523"/>
      <c r="N13" s="523"/>
      <c r="O13" s="523"/>
      <c r="P13" s="523"/>
      <c r="Q13" s="523"/>
      <c r="R13" s="523"/>
      <c r="S13" s="523"/>
      <c r="T13" s="523"/>
      <c r="U13" s="524"/>
      <c r="V13" s="413"/>
    </row>
    <row r="14" spans="1:22" ht="20.100000000000001" customHeight="1" thickBot="1" x14ac:dyDescent="0.3">
      <c r="A14" s="413"/>
      <c r="B14" s="525" t="s">
        <v>389</v>
      </c>
      <c r="C14" s="526"/>
      <c r="D14" s="526"/>
      <c r="E14" s="526"/>
      <c r="F14" s="526"/>
      <c r="G14" s="526"/>
      <c r="H14" s="526"/>
      <c r="I14" s="526"/>
      <c r="J14" s="526"/>
      <c r="K14" s="526"/>
      <c r="L14" s="526"/>
      <c r="M14" s="526"/>
      <c r="N14" s="526"/>
      <c r="O14" s="526"/>
      <c r="P14" s="526"/>
      <c r="Q14" s="526"/>
      <c r="R14" s="526"/>
      <c r="S14" s="526"/>
      <c r="T14" s="526"/>
      <c r="U14" s="527"/>
      <c r="V14" s="413"/>
    </row>
    <row r="15" spans="1:22" ht="9.9499999999999993" customHeight="1" x14ac:dyDescent="0.25">
      <c r="A15" s="413"/>
      <c r="B15" s="417"/>
      <c r="C15" s="417"/>
      <c r="D15" s="417"/>
      <c r="E15" s="417"/>
      <c r="F15" s="417"/>
      <c r="G15" s="417"/>
      <c r="H15" s="417"/>
      <c r="I15" s="417"/>
      <c r="J15" s="417"/>
      <c r="K15" s="417"/>
      <c r="L15" s="417"/>
      <c r="M15" s="417"/>
      <c r="N15" s="417"/>
      <c r="O15" s="417"/>
      <c r="P15" s="417"/>
      <c r="Q15" s="417"/>
      <c r="R15" s="417"/>
      <c r="S15" s="417"/>
      <c r="T15" s="417"/>
      <c r="U15" s="417"/>
      <c r="V15" s="413"/>
    </row>
    <row r="16" spans="1:22" ht="27" thickBot="1" x14ac:dyDescent="0.3">
      <c r="A16" s="413"/>
      <c r="B16" s="418"/>
      <c r="C16" s="418"/>
      <c r="D16" s="418"/>
      <c r="E16" s="418"/>
      <c r="F16" s="418"/>
      <c r="G16" s="418"/>
      <c r="H16" s="418"/>
      <c r="I16" s="418"/>
      <c r="J16" s="509" t="s">
        <v>390</v>
      </c>
      <c r="K16" s="509"/>
      <c r="L16" s="509"/>
      <c r="M16" s="509"/>
      <c r="N16" s="509"/>
      <c r="O16" s="418"/>
      <c r="P16" s="418"/>
      <c r="Q16" s="418"/>
      <c r="R16" s="418"/>
      <c r="S16" s="418"/>
      <c r="T16" s="418"/>
      <c r="U16" s="418"/>
      <c r="V16" s="413"/>
    </row>
    <row r="17" spans="1:22" ht="18.75" thickBot="1" x14ac:dyDescent="0.3">
      <c r="A17" s="413"/>
      <c r="B17" s="510" t="s">
        <v>391</v>
      </c>
      <c r="C17" s="511"/>
      <c r="D17" s="511"/>
      <c r="E17" s="511"/>
      <c r="F17" s="511"/>
      <c r="G17" s="511"/>
      <c r="H17" s="511"/>
      <c r="I17" s="511"/>
      <c r="J17" s="511"/>
      <c r="K17" s="511"/>
      <c r="L17" s="511"/>
      <c r="M17" s="511"/>
      <c r="N17" s="511"/>
      <c r="O17" s="511"/>
      <c r="P17" s="511"/>
      <c r="Q17" s="511"/>
      <c r="R17" s="511"/>
      <c r="S17" s="511"/>
      <c r="T17" s="511"/>
      <c r="U17" s="512"/>
      <c r="V17" s="413"/>
    </row>
    <row r="18" spans="1:22" ht="18" x14ac:dyDescent="0.25">
      <c r="A18" s="413"/>
      <c r="B18" s="417"/>
      <c r="C18" s="417"/>
      <c r="D18" s="417"/>
      <c r="E18" s="417"/>
      <c r="F18" s="417"/>
      <c r="G18" s="417"/>
      <c r="H18" s="417"/>
      <c r="I18" s="417"/>
      <c r="J18" s="417"/>
      <c r="K18" s="417"/>
      <c r="L18" s="417"/>
      <c r="M18" s="417"/>
      <c r="N18" s="417"/>
      <c r="O18" s="417"/>
      <c r="P18" s="417"/>
      <c r="Q18" s="417"/>
      <c r="R18" s="417"/>
      <c r="S18" s="417"/>
      <c r="T18" s="417"/>
      <c r="U18" s="417"/>
      <c r="V18" s="413"/>
    </row>
    <row r="19" spans="1:22" ht="27" thickBot="1" x14ac:dyDescent="0.3">
      <c r="A19" s="413"/>
      <c r="B19" s="418"/>
      <c r="C19" s="418"/>
      <c r="D19" s="418"/>
      <c r="E19" s="418"/>
      <c r="F19" s="418"/>
      <c r="G19" s="418"/>
      <c r="H19" s="418"/>
      <c r="I19" s="418"/>
      <c r="J19" s="536" t="s">
        <v>392</v>
      </c>
      <c r="K19" s="536"/>
      <c r="L19" s="536"/>
      <c r="M19" s="536"/>
      <c r="N19" s="536"/>
      <c r="O19" s="418"/>
      <c r="P19" s="418"/>
      <c r="Q19" s="418"/>
      <c r="R19" s="418"/>
      <c r="S19" s="418"/>
      <c r="T19" s="418"/>
      <c r="U19" s="418"/>
      <c r="V19" s="413"/>
    </row>
    <row r="20" spans="1:22" ht="37.5" customHeight="1" x14ac:dyDescent="0.25">
      <c r="A20" s="413"/>
      <c r="B20" s="537" t="s">
        <v>402</v>
      </c>
      <c r="C20" s="538"/>
      <c r="D20" s="538"/>
      <c r="E20" s="538"/>
      <c r="F20" s="538"/>
      <c r="G20" s="538"/>
      <c r="H20" s="538"/>
      <c r="I20" s="538"/>
      <c r="J20" s="538"/>
      <c r="K20" s="538"/>
      <c r="L20" s="538"/>
      <c r="M20" s="538"/>
      <c r="N20" s="538"/>
      <c r="O20" s="538"/>
      <c r="P20" s="538"/>
      <c r="Q20" s="538"/>
      <c r="R20" s="538"/>
      <c r="S20" s="538"/>
      <c r="T20" s="538"/>
      <c r="U20" s="539"/>
      <c r="V20" s="413"/>
    </row>
    <row r="21" spans="1:22" ht="18" x14ac:dyDescent="0.25">
      <c r="A21" s="413"/>
      <c r="B21" s="545" t="s">
        <v>403</v>
      </c>
      <c r="C21" s="546"/>
      <c r="D21" s="546"/>
      <c r="E21" s="546"/>
      <c r="F21" s="546"/>
      <c r="G21" s="546"/>
      <c r="H21" s="546"/>
      <c r="I21" s="546"/>
      <c r="J21" s="546"/>
      <c r="K21" s="546"/>
      <c r="L21" s="546"/>
      <c r="M21" s="546"/>
      <c r="N21" s="546"/>
      <c r="O21" s="546"/>
      <c r="P21" s="546"/>
      <c r="Q21" s="546"/>
      <c r="R21" s="546"/>
      <c r="S21" s="546"/>
      <c r="T21" s="546"/>
      <c r="U21" s="547"/>
      <c r="V21" s="413"/>
    </row>
    <row r="22" spans="1:22" ht="39.950000000000003" customHeight="1" thickBot="1" x14ac:dyDescent="0.3">
      <c r="A22" s="413"/>
      <c r="B22" s="548" t="s">
        <v>407</v>
      </c>
      <c r="C22" s="549"/>
      <c r="D22" s="549"/>
      <c r="E22" s="549"/>
      <c r="F22" s="549"/>
      <c r="G22" s="549"/>
      <c r="H22" s="549"/>
      <c r="I22" s="549"/>
      <c r="J22" s="549"/>
      <c r="K22" s="549"/>
      <c r="L22" s="549"/>
      <c r="M22" s="549"/>
      <c r="N22" s="549"/>
      <c r="O22" s="549"/>
      <c r="P22" s="549"/>
      <c r="Q22" s="549"/>
      <c r="R22" s="549"/>
      <c r="S22" s="549"/>
      <c r="T22" s="549"/>
      <c r="U22" s="550"/>
      <c r="V22" s="413"/>
    </row>
    <row r="23" spans="1:22" ht="9.9499999999999993" customHeight="1" x14ac:dyDescent="0.25">
      <c r="A23" s="413"/>
      <c r="B23" s="417"/>
      <c r="C23" s="417"/>
      <c r="D23" s="417"/>
      <c r="E23" s="417"/>
      <c r="F23" s="417"/>
      <c r="G23" s="417"/>
      <c r="H23" s="417"/>
      <c r="I23" s="417"/>
      <c r="J23" s="417"/>
      <c r="K23" s="417"/>
      <c r="L23" s="417"/>
      <c r="M23" s="417"/>
      <c r="N23" s="417"/>
      <c r="O23" s="417"/>
      <c r="P23" s="417"/>
      <c r="Q23" s="417"/>
      <c r="R23" s="417"/>
      <c r="S23" s="417"/>
      <c r="T23" s="417"/>
      <c r="U23" s="417"/>
      <c r="V23" s="413"/>
    </row>
    <row r="24" spans="1:22" ht="27" thickBot="1" x14ac:dyDescent="0.3">
      <c r="A24" s="413"/>
      <c r="B24" s="418"/>
      <c r="C24" s="418"/>
      <c r="D24" s="418"/>
      <c r="E24" s="418"/>
      <c r="F24" s="418"/>
      <c r="G24" s="418"/>
      <c r="H24" s="418"/>
      <c r="I24" s="418"/>
      <c r="J24" s="540" t="s">
        <v>393</v>
      </c>
      <c r="K24" s="540"/>
      <c r="L24" s="540"/>
      <c r="M24" s="540"/>
      <c r="N24" s="540"/>
      <c r="O24" s="418"/>
      <c r="P24" s="418"/>
      <c r="Q24" s="418"/>
      <c r="R24" s="418"/>
      <c r="S24" s="418"/>
      <c r="T24" s="418"/>
      <c r="U24" s="418"/>
      <c r="V24" s="413"/>
    </row>
    <row r="25" spans="1:22" ht="18" x14ac:dyDescent="0.25">
      <c r="A25" s="413"/>
      <c r="B25" s="541" t="s">
        <v>404</v>
      </c>
      <c r="C25" s="542"/>
      <c r="D25" s="542"/>
      <c r="E25" s="542"/>
      <c r="F25" s="542"/>
      <c r="G25" s="542"/>
      <c r="H25" s="542"/>
      <c r="I25" s="542"/>
      <c r="J25" s="542"/>
      <c r="K25" s="542"/>
      <c r="L25" s="542"/>
      <c r="M25" s="542"/>
      <c r="N25" s="542"/>
      <c r="O25" s="542"/>
      <c r="P25" s="542"/>
      <c r="Q25" s="542"/>
      <c r="R25" s="542"/>
      <c r="S25" s="542"/>
      <c r="T25" s="542"/>
      <c r="U25" s="543"/>
      <c r="V25" s="413"/>
    </row>
    <row r="26" spans="1:22" ht="18" x14ac:dyDescent="0.25">
      <c r="A26" s="413"/>
      <c r="B26" s="551" t="s">
        <v>405</v>
      </c>
      <c r="C26" s="552"/>
      <c r="D26" s="552"/>
      <c r="E26" s="552"/>
      <c r="F26" s="552"/>
      <c r="G26" s="552"/>
      <c r="H26" s="552"/>
      <c r="I26" s="552"/>
      <c r="J26" s="552"/>
      <c r="K26" s="552"/>
      <c r="L26" s="552"/>
      <c r="M26" s="552"/>
      <c r="N26" s="552"/>
      <c r="O26" s="552"/>
      <c r="P26" s="552"/>
      <c r="Q26" s="552"/>
      <c r="R26" s="552"/>
      <c r="S26" s="552"/>
      <c r="T26" s="552"/>
      <c r="U26" s="553"/>
      <c r="V26" s="413"/>
    </row>
    <row r="27" spans="1:22" ht="18.75" thickBot="1" x14ac:dyDescent="0.3">
      <c r="A27" s="413"/>
      <c r="B27" s="554" t="s">
        <v>406</v>
      </c>
      <c r="C27" s="555"/>
      <c r="D27" s="555"/>
      <c r="E27" s="555"/>
      <c r="F27" s="555"/>
      <c r="G27" s="555"/>
      <c r="H27" s="555"/>
      <c r="I27" s="555"/>
      <c r="J27" s="555"/>
      <c r="K27" s="555"/>
      <c r="L27" s="555"/>
      <c r="M27" s="555"/>
      <c r="N27" s="555"/>
      <c r="O27" s="555"/>
      <c r="P27" s="555"/>
      <c r="Q27" s="555"/>
      <c r="R27" s="555"/>
      <c r="S27" s="555"/>
      <c r="T27" s="555"/>
      <c r="U27" s="556"/>
      <c r="V27" s="413"/>
    </row>
    <row r="28" spans="1:22" ht="9.9499999999999993" customHeight="1" x14ac:dyDescent="0.25">
      <c r="A28" s="413"/>
      <c r="B28" s="417"/>
      <c r="C28" s="417"/>
      <c r="D28" s="417"/>
      <c r="E28" s="417"/>
      <c r="F28" s="417"/>
      <c r="G28" s="417"/>
      <c r="H28" s="417"/>
      <c r="I28" s="417"/>
      <c r="J28" s="417"/>
      <c r="K28" s="417"/>
      <c r="L28" s="417"/>
      <c r="M28" s="417"/>
      <c r="N28" s="417"/>
      <c r="O28" s="417"/>
      <c r="P28" s="417"/>
      <c r="Q28" s="417"/>
      <c r="R28" s="417"/>
      <c r="S28" s="417"/>
      <c r="T28" s="417"/>
      <c r="U28" s="417"/>
      <c r="V28" s="413"/>
    </row>
    <row r="29" spans="1:22" ht="27" thickBot="1" x14ac:dyDescent="0.3">
      <c r="A29" s="413"/>
      <c r="B29" s="418"/>
      <c r="C29" s="418"/>
      <c r="D29" s="418"/>
      <c r="E29" s="418"/>
      <c r="F29" s="418"/>
      <c r="G29" s="418"/>
      <c r="H29" s="418"/>
      <c r="I29" s="418"/>
      <c r="J29" s="544" t="s">
        <v>394</v>
      </c>
      <c r="K29" s="544"/>
      <c r="L29" s="544"/>
      <c r="M29" s="544"/>
      <c r="N29" s="544"/>
      <c r="O29" s="418"/>
      <c r="P29" s="418"/>
      <c r="Q29" s="418"/>
      <c r="R29" s="418"/>
      <c r="S29" s="418"/>
      <c r="T29" s="418"/>
      <c r="U29" s="418"/>
      <c r="V29" s="413"/>
    </row>
    <row r="30" spans="1:22" ht="18.75" thickBot="1" x14ac:dyDescent="0.3">
      <c r="A30" s="413"/>
      <c r="B30" s="557" t="s">
        <v>408</v>
      </c>
      <c r="C30" s="558"/>
      <c r="D30" s="558"/>
      <c r="E30" s="558"/>
      <c r="F30" s="558"/>
      <c r="G30" s="558"/>
      <c r="H30" s="558"/>
      <c r="I30" s="558"/>
      <c r="J30" s="558"/>
      <c r="K30" s="558"/>
      <c r="L30" s="558"/>
      <c r="M30" s="558"/>
      <c r="N30" s="558"/>
      <c r="O30" s="558"/>
      <c r="P30" s="558"/>
      <c r="Q30" s="558"/>
      <c r="R30" s="558"/>
      <c r="S30" s="558"/>
      <c r="T30" s="558"/>
      <c r="U30" s="559"/>
      <c r="V30" s="413"/>
    </row>
    <row r="31" spans="1:22" ht="9.9499999999999993" customHeight="1" x14ac:dyDescent="0.25">
      <c r="A31" s="413"/>
      <c r="B31" s="417"/>
      <c r="C31" s="417"/>
      <c r="D31" s="417"/>
      <c r="E31" s="417"/>
      <c r="F31" s="417"/>
      <c r="G31" s="417"/>
      <c r="H31" s="417"/>
      <c r="I31" s="417"/>
      <c r="J31" s="417"/>
      <c r="K31" s="417"/>
      <c r="L31" s="417"/>
      <c r="M31" s="417"/>
      <c r="N31" s="417"/>
      <c r="O31" s="417"/>
      <c r="P31" s="417"/>
      <c r="Q31" s="417"/>
      <c r="R31" s="417"/>
      <c r="S31" s="417"/>
      <c r="T31" s="417"/>
      <c r="U31" s="417"/>
      <c r="V31" s="413"/>
    </row>
    <row r="32" spans="1:22" ht="27" thickBot="1" x14ac:dyDescent="0.3">
      <c r="A32" s="413"/>
      <c r="B32" s="418"/>
      <c r="C32" s="418"/>
      <c r="D32" s="418"/>
      <c r="E32" s="418"/>
      <c r="F32" s="418"/>
      <c r="G32" s="418"/>
      <c r="H32" s="418"/>
      <c r="I32" s="418"/>
      <c r="J32" s="560" t="s">
        <v>395</v>
      </c>
      <c r="K32" s="560"/>
      <c r="L32" s="560"/>
      <c r="M32" s="560"/>
      <c r="N32" s="560"/>
      <c r="O32" s="418"/>
      <c r="P32" s="418"/>
      <c r="Q32" s="418"/>
      <c r="R32" s="418"/>
      <c r="S32" s="418"/>
      <c r="T32" s="418"/>
      <c r="U32" s="418"/>
      <c r="V32" s="413"/>
    </row>
    <row r="33" spans="1:22" ht="39.75" customHeight="1" thickBot="1" x14ac:dyDescent="0.3">
      <c r="A33" s="413"/>
      <c r="B33" s="561" t="s">
        <v>409</v>
      </c>
      <c r="C33" s="562"/>
      <c r="D33" s="562"/>
      <c r="E33" s="562"/>
      <c r="F33" s="562"/>
      <c r="G33" s="562"/>
      <c r="H33" s="562"/>
      <c r="I33" s="562"/>
      <c r="J33" s="562"/>
      <c r="K33" s="562"/>
      <c r="L33" s="562"/>
      <c r="M33" s="562"/>
      <c r="N33" s="562"/>
      <c r="O33" s="562"/>
      <c r="P33" s="562"/>
      <c r="Q33" s="562"/>
      <c r="R33" s="562"/>
      <c r="S33" s="562"/>
      <c r="T33" s="562"/>
      <c r="U33" s="563"/>
      <c r="V33" s="413"/>
    </row>
    <row r="34" spans="1:22" ht="9.9499999999999993" customHeight="1" x14ac:dyDescent="0.25">
      <c r="A34" s="413"/>
      <c r="B34" s="417"/>
      <c r="C34" s="417"/>
      <c r="D34" s="417"/>
      <c r="E34" s="417"/>
      <c r="F34" s="417"/>
      <c r="G34" s="417"/>
      <c r="H34" s="417"/>
      <c r="I34" s="417"/>
      <c r="J34" s="417"/>
      <c r="K34" s="417"/>
      <c r="L34" s="417"/>
      <c r="M34" s="417"/>
      <c r="N34" s="417"/>
      <c r="O34" s="417"/>
      <c r="P34" s="417"/>
      <c r="Q34" s="417"/>
      <c r="R34" s="417"/>
      <c r="S34" s="417"/>
      <c r="T34" s="417"/>
      <c r="U34" s="417"/>
      <c r="V34" s="413"/>
    </row>
    <row r="35" spans="1:22" ht="27" thickBot="1" x14ac:dyDescent="0.3">
      <c r="A35" s="413"/>
      <c r="B35" s="418"/>
      <c r="C35" s="418"/>
      <c r="D35" s="418"/>
      <c r="E35" s="418"/>
      <c r="F35" s="418"/>
      <c r="G35" s="418"/>
      <c r="H35" s="418"/>
      <c r="I35" s="418"/>
      <c r="J35" s="564" t="s">
        <v>396</v>
      </c>
      <c r="K35" s="564"/>
      <c r="L35" s="564"/>
      <c r="M35" s="564"/>
      <c r="N35" s="564"/>
      <c r="O35" s="418"/>
      <c r="P35" s="418"/>
      <c r="Q35" s="418"/>
      <c r="R35" s="418"/>
      <c r="S35" s="418"/>
      <c r="T35" s="418"/>
      <c r="U35" s="418"/>
      <c r="V35" s="413"/>
    </row>
    <row r="36" spans="1:22" ht="18.75" thickBot="1" x14ac:dyDescent="0.3">
      <c r="A36" s="413"/>
      <c r="B36" s="565" t="s">
        <v>410</v>
      </c>
      <c r="C36" s="566"/>
      <c r="D36" s="566"/>
      <c r="E36" s="566"/>
      <c r="F36" s="566"/>
      <c r="G36" s="566"/>
      <c r="H36" s="566"/>
      <c r="I36" s="566"/>
      <c r="J36" s="566"/>
      <c r="K36" s="566"/>
      <c r="L36" s="566"/>
      <c r="M36" s="566"/>
      <c r="N36" s="566"/>
      <c r="O36" s="566"/>
      <c r="P36" s="566"/>
      <c r="Q36" s="566"/>
      <c r="R36" s="566"/>
      <c r="S36" s="566"/>
      <c r="T36" s="566"/>
      <c r="U36" s="567"/>
      <c r="V36" s="413"/>
    </row>
    <row r="37" spans="1:22" ht="9.9499999999999993" customHeight="1" x14ac:dyDescent="0.25">
      <c r="A37" s="413"/>
      <c r="B37" s="417"/>
      <c r="C37" s="417"/>
      <c r="D37" s="417"/>
      <c r="E37" s="417"/>
      <c r="F37" s="417"/>
      <c r="G37" s="417"/>
      <c r="H37" s="417"/>
      <c r="I37" s="417"/>
      <c r="J37" s="417"/>
      <c r="K37" s="417"/>
      <c r="L37" s="417"/>
      <c r="M37" s="417"/>
      <c r="N37" s="417"/>
      <c r="O37" s="417"/>
      <c r="P37" s="417"/>
      <c r="Q37" s="417"/>
      <c r="R37" s="417"/>
      <c r="S37" s="417"/>
      <c r="T37" s="417"/>
      <c r="U37" s="417"/>
      <c r="V37" s="413"/>
    </row>
    <row r="38" spans="1:22" ht="27" thickBot="1" x14ac:dyDescent="0.3">
      <c r="A38" s="413"/>
      <c r="B38" s="418"/>
      <c r="C38" s="418"/>
      <c r="D38" s="418"/>
      <c r="E38" s="418"/>
      <c r="F38" s="418"/>
      <c r="G38" s="418"/>
      <c r="H38" s="418"/>
      <c r="I38" s="418"/>
      <c r="J38" s="568" t="s">
        <v>397</v>
      </c>
      <c r="K38" s="568"/>
      <c r="L38" s="568"/>
      <c r="M38" s="568"/>
      <c r="N38" s="568"/>
      <c r="O38" s="418"/>
      <c r="P38" s="418"/>
      <c r="Q38" s="418"/>
      <c r="R38" s="418"/>
      <c r="S38" s="418"/>
      <c r="T38" s="418"/>
      <c r="U38" s="418"/>
      <c r="V38" s="413"/>
    </row>
    <row r="39" spans="1:22" ht="18.75" thickBot="1" x14ac:dyDescent="0.3">
      <c r="A39" s="413"/>
      <c r="B39" s="569" t="s">
        <v>411</v>
      </c>
      <c r="C39" s="570"/>
      <c r="D39" s="570"/>
      <c r="E39" s="570"/>
      <c r="F39" s="570"/>
      <c r="G39" s="570"/>
      <c r="H39" s="570"/>
      <c r="I39" s="570"/>
      <c r="J39" s="570"/>
      <c r="K39" s="570"/>
      <c r="L39" s="570"/>
      <c r="M39" s="570"/>
      <c r="N39" s="570"/>
      <c r="O39" s="570"/>
      <c r="P39" s="570"/>
      <c r="Q39" s="570"/>
      <c r="R39" s="570"/>
      <c r="S39" s="570"/>
      <c r="T39" s="570"/>
      <c r="U39" s="571"/>
      <c r="V39" s="413"/>
    </row>
    <row r="40" spans="1:22" ht="9.9499999999999993" customHeight="1" x14ac:dyDescent="0.25">
      <c r="A40" s="413"/>
      <c r="B40" s="417"/>
      <c r="C40" s="417"/>
      <c r="D40" s="417"/>
      <c r="E40" s="417"/>
      <c r="F40" s="417"/>
      <c r="G40" s="417"/>
      <c r="H40" s="417"/>
      <c r="I40" s="417"/>
      <c r="J40" s="417"/>
      <c r="K40" s="417"/>
      <c r="L40" s="417"/>
      <c r="M40" s="417"/>
      <c r="N40" s="417"/>
      <c r="O40" s="417"/>
      <c r="P40" s="417"/>
      <c r="Q40" s="417"/>
      <c r="R40" s="417"/>
      <c r="S40" s="417"/>
      <c r="T40" s="417"/>
      <c r="U40" s="417"/>
      <c r="V40" s="413"/>
    </row>
    <row r="41" spans="1:22" ht="27" thickBot="1" x14ac:dyDescent="0.3">
      <c r="A41" s="413"/>
      <c r="B41" s="418"/>
      <c r="C41" s="418"/>
      <c r="D41" s="418"/>
      <c r="E41" s="418"/>
      <c r="F41" s="418"/>
      <c r="G41" s="418"/>
      <c r="H41" s="418"/>
      <c r="I41" s="418"/>
      <c r="J41" s="532" t="s">
        <v>398</v>
      </c>
      <c r="K41" s="532"/>
      <c r="L41" s="532"/>
      <c r="M41" s="532"/>
      <c r="N41" s="532"/>
      <c r="O41" s="418"/>
      <c r="P41" s="418"/>
      <c r="Q41" s="418"/>
      <c r="R41" s="418"/>
      <c r="S41" s="418"/>
      <c r="T41" s="418"/>
      <c r="U41" s="418"/>
      <c r="V41" s="413"/>
    </row>
    <row r="42" spans="1:22" ht="18.75" thickBot="1" x14ac:dyDescent="0.3">
      <c r="A42" s="413"/>
      <c r="B42" s="572" t="s">
        <v>412</v>
      </c>
      <c r="C42" s="573"/>
      <c r="D42" s="573"/>
      <c r="E42" s="573"/>
      <c r="F42" s="573"/>
      <c r="G42" s="573"/>
      <c r="H42" s="573"/>
      <c r="I42" s="573"/>
      <c r="J42" s="573"/>
      <c r="K42" s="573"/>
      <c r="L42" s="573"/>
      <c r="M42" s="573"/>
      <c r="N42" s="573"/>
      <c r="O42" s="573"/>
      <c r="P42" s="573"/>
      <c r="Q42" s="573"/>
      <c r="R42" s="573"/>
      <c r="S42" s="573"/>
      <c r="T42" s="573"/>
      <c r="U42" s="574"/>
      <c r="V42" s="413"/>
    </row>
    <row r="43" spans="1:22" ht="9.9499999999999993" customHeight="1" x14ac:dyDescent="0.25">
      <c r="A43" s="413"/>
      <c r="B43" s="417"/>
      <c r="C43" s="417"/>
      <c r="D43" s="417"/>
      <c r="E43" s="417"/>
      <c r="F43" s="417"/>
      <c r="G43" s="417"/>
      <c r="H43" s="417"/>
      <c r="I43" s="417"/>
      <c r="J43" s="417"/>
      <c r="K43" s="417"/>
      <c r="L43" s="417"/>
      <c r="M43" s="417"/>
      <c r="N43" s="417"/>
      <c r="O43" s="417"/>
      <c r="P43" s="417"/>
      <c r="Q43" s="417"/>
      <c r="R43" s="417"/>
      <c r="S43" s="417"/>
      <c r="T43" s="417"/>
      <c r="U43" s="417"/>
      <c r="V43" s="413"/>
    </row>
    <row r="44" spans="1:22" ht="27" thickBot="1" x14ac:dyDescent="0.3">
      <c r="A44" s="413"/>
      <c r="B44" s="418"/>
      <c r="C44" s="418"/>
      <c r="D44" s="418"/>
      <c r="E44" s="418"/>
      <c r="F44" s="418"/>
      <c r="G44" s="418"/>
      <c r="H44" s="418"/>
      <c r="I44" s="418"/>
      <c r="J44" s="575" t="s">
        <v>400</v>
      </c>
      <c r="K44" s="575"/>
      <c r="L44" s="575"/>
      <c r="M44" s="575"/>
      <c r="N44" s="575"/>
      <c r="O44" s="418"/>
      <c r="P44" s="418"/>
      <c r="Q44" s="418"/>
      <c r="R44" s="418"/>
      <c r="S44" s="418"/>
      <c r="T44" s="418"/>
      <c r="U44" s="418"/>
      <c r="V44" s="413"/>
    </row>
    <row r="45" spans="1:22" ht="18.75" thickBot="1" x14ac:dyDescent="0.3">
      <c r="A45" s="413"/>
      <c r="B45" s="576" t="s">
        <v>414</v>
      </c>
      <c r="C45" s="577"/>
      <c r="D45" s="577"/>
      <c r="E45" s="577"/>
      <c r="F45" s="577"/>
      <c r="G45" s="577"/>
      <c r="H45" s="577"/>
      <c r="I45" s="577"/>
      <c r="J45" s="577"/>
      <c r="K45" s="577"/>
      <c r="L45" s="577"/>
      <c r="M45" s="577"/>
      <c r="N45" s="577"/>
      <c r="O45" s="577"/>
      <c r="P45" s="577"/>
      <c r="Q45" s="577"/>
      <c r="R45" s="577"/>
      <c r="S45" s="577"/>
      <c r="T45" s="577"/>
      <c r="U45" s="578"/>
      <c r="V45" s="413"/>
    </row>
    <row r="46" spans="1:22" ht="9.9499999999999993" customHeight="1" x14ac:dyDescent="0.25">
      <c r="A46" s="413"/>
      <c r="B46" s="417"/>
      <c r="C46" s="417"/>
      <c r="D46" s="417"/>
      <c r="E46" s="417"/>
      <c r="F46" s="417"/>
      <c r="G46" s="417"/>
      <c r="H46" s="417"/>
      <c r="I46" s="417"/>
      <c r="J46" s="417"/>
      <c r="K46" s="417"/>
      <c r="L46" s="417"/>
      <c r="M46" s="417"/>
      <c r="N46" s="417"/>
      <c r="O46" s="417"/>
      <c r="P46" s="417"/>
      <c r="Q46" s="417"/>
      <c r="R46" s="417"/>
      <c r="S46" s="417"/>
      <c r="T46" s="417"/>
      <c r="U46" s="417"/>
      <c r="V46" s="413"/>
    </row>
    <row r="47" spans="1:22" ht="27" thickBot="1" x14ac:dyDescent="0.3">
      <c r="A47" s="413"/>
      <c r="B47" s="418"/>
      <c r="C47" s="418"/>
      <c r="D47" s="418"/>
      <c r="E47" s="418"/>
      <c r="F47" s="418"/>
      <c r="G47" s="418"/>
      <c r="H47" s="418"/>
      <c r="I47" s="418"/>
      <c r="J47" s="509" t="s">
        <v>399</v>
      </c>
      <c r="K47" s="509"/>
      <c r="L47" s="509"/>
      <c r="M47" s="509"/>
      <c r="N47" s="509"/>
      <c r="O47" s="418"/>
      <c r="P47" s="418"/>
      <c r="Q47" s="418"/>
      <c r="R47" s="418"/>
      <c r="S47" s="418"/>
      <c r="T47" s="418"/>
      <c r="U47" s="418"/>
      <c r="V47" s="413"/>
    </row>
    <row r="48" spans="1:22" ht="18.75" thickBot="1" x14ac:dyDescent="0.3">
      <c r="A48" s="413"/>
      <c r="B48" s="579" t="s">
        <v>413</v>
      </c>
      <c r="C48" s="580"/>
      <c r="D48" s="580"/>
      <c r="E48" s="580"/>
      <c r="F48" s="580"/>
      <c r="G48" s="580"/>
      <c r="H48" s="580"/>
      <c r="I48" s="580"/>
      <c r="J48" s="580"/>
      <c r="K48" s="580"/>
      <c r="L48" s="580"/>
      <c r="M48" s="580"/>
      <c r="N48" s="580"/>
      <c r="O48" s="580"/>
      <c r="P48" s="580"/>
      <c r="Q48" s="580"/>
      <c r="R48" s="580"/>
      <c r="S48" s="580"/>
      <c r="T48" s="580"/>
      <c r="U48" s="581"/>
      <c r="V48" s="413"/>
    </row>
    <row r="49" spans="1:22" ht="9.9499999999999993" customHeight="1" x14ac:dyDescent="0.25">
      <c r="A49" s="413"/>
      <c r="B49" s="417"/>
      <c r="C49" s="417"/>
      <c r="D49" s="417"/>
      <c r="E49" s="417"/>
      <c r="F49" s="417"/>
      <c r="G49" s="417"/>
      <c r="H49" s="417"/>
      <c r="I49" s="417"/>
      <c r="J49" s="417"/>
      <c r="K49" s="417"/>
      <c r="L49" s="417"/>
      <c r="M49" s="417"/>
      <c r="N49" s="417"/>
      <c r="O49" s="417"/>
      <c r="P49" s="417"/>
      <c r="Q49" s="417"/>
      <c r="R49" s="417"/>
      <c r="S49" s="417"/>
      <c r="T49" s="417"/>
      <c r="U49" s="417"/>
      <c r="V49" s="413"/>
    </row>
    <row r="50" spans="1:22" ht="27" thickBot="1" x14ac:dyDescent="0.3">
      <c r="A50" s="413"/>
      <c r="B50" s="418"/>
      <c r="C50" s="418"/>
      <c r="D50" s="418"/>
      <c r="E50" s="418"/>
      <c r="F50" s="418"/>
      <c r="G50" s="418"/>
      <c r="H50" s="418"/>
      <c r="I50" s="418"/>
      <c r="J50" s="582" t="s">
        <v>401</v>
      </c>
      <c r="K50" s="582"/>
      <c r="L50" s="582"/>
      <c r="M50" s="582"/>
      <c r="N50" s="582"/>
      <c r="O50" s="418"/>
      <c r="P50" s="418"/>
      <c r="Q50" s="418"/>
      <c r="R50" s="418"/>
      <c r="S50" s="418"/>
      <c r="T50" s="418"/>
      <c r="U50" s="418"/>
      <c r="V50" s="413"/>
    </row>
    <row r="51" spans="1:22" ht="18.75" thickBot="1" x14ac:dyDescent="0.3">
      <c r="A51" s="413"/>
      <c r="B51" s="583" t="s">
        <v>415</v>
      </c>
      <c r="C51" s="584"/>
      <c r="D51" s="584"/>
      <c r="E51" s="584"/>
      <c r="F51" s="584"/>
      <c r="G51" s="584"/>
      <c r="H51" s="584"/>
      <c r="I51" s="584"/>
      <c r="J51" s="584"/>
      <c r="K51" s="584"/>
      <c r="L51" s="584"/>
      <c r="M51" s="584"/>
      <c r="N51" s="584"/>
      <c r="O51" s="584"/>
      <c r="P51" s="584"/>
      <c r="Q51" s="584"/>
      <c r="R51" s="584"/>
      <c r="S51" s="584"/>
      <c r="T51" s="584"/>
      <c r="U51" s="585"/>
      <c r="V51" s="413"/>
    </row>
    <row r="52" spans="1:22" ht="9.9499999999999993" customHeight="1" x14ac:dyDescent="0.25">
      <c r="A52" s="413"/>
      <c r="B52" s="419"/>
      <c r="C52" s="419"/>
      <c r="D52" s="419"/>
      <c r="E52" s="419"/>
      <c r="F52" s="419"/>
      <c r="G52" s="419"/>
      <c r="H52" s="419"/>
      <c r="I52" s="419"/>
      <c r="J52" s="419"/>
      <c r="K52" s="419"/>
      <c r="L52" s="419"/>
      <c r="M52" s="419"/>
      <c r="N52" s="419"/>
      <c r="O52" s="419"/>
      <c r="P52" s="419"/>
      <c r="Q52" s="419"/>
      <c r="R52" s="419"/>
      <c r="S52" s="419"/>
      <c r="T52" s="419"/>
      <c r="U52" s="419"/>
      <c r="V52" s="413"/>
    </row>
  </sheetData>
  <sheetProtection password="F144" sheet="1" objects="1" scenarios="1"/>
  <mergeCells count="37">
    <mergeCell ref="B45:U45"/>
    <mergeCell ref="J47:N47"/>
    <mergeCell ref="B48:U48"/>
    <mergeCell ref="J50:N50"/>
    <mergeCell ref="B51:U51"/>
    <mergeCell ref="J38:N38"/>
    <mergeCell ref="B39:U39"/>
    <mergeCell ref="J41:N41"/>
    <mergeCell ref="B42:U42"/>
    <mergeCell ref="J44:N44"/>
    <mergeCell ref="B30:U30"/>
    <mergeCell ref="J32:N32"/>
    <mergeCell ref="B33:U33"/>
    <mergeCell ref="J35:N35"/>
    <mergeCell ref="B36:U36"/>
    <mergeCell ref="J19:N19"/>
    <mergeCell ref="B20:U20"/>
    <mergeCell ref="J24:N24"/>
    <mergeCell ref="B25:U25"/>
    <mergeCell ref="J29:N29"/>
    <mergeCell ref="B21:U21"/>
    <mergeCell ref="B22:U22"/>
    <mergeCell ref="B26:U26"/>
    <mergeCell ref="B27:U27"/>
    <mergeCell ref="B5:U5"/>
    <mergeCell ref="J4:N4"/>
    <mergeCell ref="F3:R3"/>
    <mergeCell ref="J7:N7"/>
    <mergeCell ref="B2:U2"/>
    <mergeCell ref="J16:N16"/>
    <mergeCell ref="B17:U17"/>
    <mergeCell ref="B8:U8"/>
    <mergeCell ref="B9:U9"/>
    <mergeCell ref="B12:U12"/>
    <mergeCell ref="B13:U13"/>
    <mergeCell ref="B14:U14"/>
    <mergeCell ref="J11:N11"/>
  </mergeCells>
  <pageMargins left="0" right="0" top="0" bottom="0" header="0" footer="0"/>
  <pageSetup paperSize="9" scale="77"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499984740745262"/>
  </sheetPr>
  <dimension ref="A1:AK43"/>
  <sheetViews>
    <sheetView view="pageBreakPreview" topLeftCell="O5" zoomScaleNormal="100" zoomScaleSheetLayoutView="100" workbookViewId="0">
      <pane xSplit="4" ySplit="7" topLeftCell="S12" activePane="bottomRight" state="frozen"/>
      <selection activeCell="O5" sqref="O5"/>
      <selection pane="topRight" activeCell="S5" sqref="S5"/>
      <selection pane="bottomLeft" activeCell="O12" sqref="O12"/>
      <selection pane="bottomRight" activeCell="X6" sqref="X6:AB8"/>
    </sheetView>
  </sheetViews>
  <sheetFormatPr defaultRowHeight="15" x14ac:dyDescent="0.25"/>
  <cols>
    <col min="1" max="14" width="9.140625" style="3" hidden="1" customWidth="1"/>
    <col min="15" max="15" width="14.28515625" style="3" customWidth="1"/>
    <col min="16" max="16" width="6.140625" style="3" customWidth="1"/>
    <col min="17" max="17" width="2.140625" style="3" customWidth="1"/>
    <col min="18" max="18" width="10.7109375" style="3" customWidth="1"/>
    <col min="19" max="20" width="5.7109375" style="3" customWidth="1"/>
    <col min="21" max="27" width="10.7109375" style="3" customWidth="1"/>
    <col min="28" max="28" width="5.7109375" style="3" customWidth="1"/>
    <col min="29" max="29" width="8.140625" style="3" customWidth="1"/>
    <col min="30" max="30" width="5.7109375" style="3" customWidth="1"/>
    <col min="31" max="37" width="10.7109375" style="3" customWidth="1"/>
    <col min="38" max="16384" width="9.140625" style="3"/>
  </cols>
  <sheetData>
    <row r="1" spans="1:37" hidden="1" x14ac:dyDescent="0.25">
      <c r="A1" s="3" t="s">
        <v>213</v>
      </c>
      <c r="B1" s="3">
        <v>1</v>
      </c>
      <c r="C1" s="3">
        <f>IF(LEN(O7)&gt;=3,1,0)</f>
        <v>1</v>
      </c>
      <c r="F1" s="3" t="s">
        <v>67</v>
      </c>
      <c r="G1" s="3">
        <v>2</v>
      </c>
      <c r="I1" s="3" t="str">
        <f>IF(C4=3,VLOOKUP(AI7,PROFILE!$H$4:$L$15,5,0),"")</f>
        <v/>
      </c>
      <c r="K1" s="3" t="s">
        <v>241</v>
      </c>
      <c r="L1" s="3">
        <f>C3+C1</f>
        <v>1</v>
      </c>
      <c r="M1" s="3">
        <f>IFERROR(IF(LEN(O7)&gt;=7,VLOOKUP(O7,A1:B2,2,0),0),0)</f>
        <v>2</v>
      </c>
      <c r="O1" s="3">
        <v>2</v>
      </c>
      <c r="P1" s="3">
        <v>3</v>
      </c>
      <c r="S1" s="3">
        <v>5</v>
      </c>
      <c r="T1" s="3">
        <v>7</v>
      </c>
      <c r="U1" s="3">
        <v>14</v>
      </c>
      <c r="V1" s="3">
        <v>16</v>
      </c>
      <c r="W1" s="3">
        <v>21</v>
      </c>
      <c r="X1" s="3">
        <v>22</v>
      </c>
      <c r="Y1" s="3">
        <v>23</v>
      </c>
      <c r="Z1" s="3">
        <v>14</v>
      </c>
      <c r="AA1" s="3">
        <v>16</v>
      </c>
      <c r="AB1" s="3">
        <v>9</v>
      </c>
      <c r="AD1" s="3">
        <v>11</v>
      </c>
      <c r="AE1" s="3">
        <v>18</v>
      </c>
      <c r="AF1" s="3">
        <v>20</v>
      </c>
      <c r="AG1" s="3">
        <v>22</v>
      </c>
    </row>
    <row r="2" spans="1:37" hidden="1" x14ac:dyDescent="0.25">
      <c r="A2" s="3" t="s">
        <v>103</v>
      </c>
      <c r="B2" s="3">
        <v>2</v>
      </c>
      <c r="C2" s="3">
        <f>IF(LEN(AI7)&gt;=3,1,0)</f>
        <v>1</v>
      </c>
      <c r="F2" s="3" t="s">
        <v>68</v>
      </c>
      <c r="G2" s="3">
        <v>1</v>
      </c>
      <c r="K2" s="3" t="s">
        <v>240</v>
      </c>
      <c r="L2" s="3" t="str">
        <f>IF(C4=3,LEFT(AI7,LEN(AI7)-5),"")</f>
        <v/>
      </c>
      <c r="M2" s="3">
        <f>IFERROR(IF($C$4=3,(IF($M$1=1,VLOOKUP($AI$7,HOME!$D$7:$AA$18,6,0),IF($M$1=2,VLOOKUP($AI$7,HOME!$D$7:$AA$18,7,0),0))),0),0)</f>
        <v>0</v>
      </c>
      <c r="O2" s="3">
        <v>4</v>
      </c>
      <c r="P2" s="3">
        <v>5</v>
      </c>
      <c r="S2" s="3">
        <v>6</v>
      </c>
      <c r="T2" s="3">
        <v>8</v>
      </c>
      <c r="U2" s="3">
        <v>15</v>
      </c>
      <c r="V2" s="3">
        <v>17</v>
      </c>
      <c r="W2" s="3">
        <v>24</v>
      </c>
      <c r="X2" s="3">
        <v>25</v>
      </c>
      <c r="Y2" s="3">
        <v>26</v>
      </c>
      <c r="Z2" s="3">
        <v>15</v>
      </c>
      <c r="AA2" s="3">
        <v>17</v>
      </c>
      <c r="AB2" s="3">
        <v>10</v>
      </c>
      <c r="AD2" s="3">
        <v>12</v>
      </c>
      <c r="AE2" s="3">
        <v>19</v>
      </c>
      <c r="AF2" s="3">
        <v>21</v>
      </c>
      <c r="AG2" s="3">
        <v>23</v>
      </c>
    </row>
    <row r="3" spans="1:37" hidden="1" x14ac:dyDescent="0.25">
      <c r="C3" s="3">
        <f>IF(LEN(O5)&gt;=3,1,0)</f>
        <v>0</v>
      </c>
      <c r="F3" s="3">
        <f>IF(LEN(I1)&gt;=2,VLOOKUP(I1,F1:G2,2,0),0)</f>
        <v>0</v>
      </c>
      <c r="K3" s="3" t="s">
        <v>239</v>
      </c>
      <c r="L3" s="3">
        <f>IF(C4=3,VLOOKUP(L2,HOME!$A$1:$B$12,2,0),0)</f>
        <v>0</v>
      </c>
      <c r="M3" s="3">
        <f>IFERROR(IF($C$4=3,(IF($M$1=1,VLOOKUP($AI$7,HOME!$D$7:$AA$18,18,0),IF($M$1=2,VLOOKUP($AI$7,HOME!$D$7:$AA$18,19,0),0))),0),0)</f>
        <v>0</v>
      </c>
      <c r="O3" s="3">
        <f t="shared" ref="O3:P3" si="0">IF($C$4=3,(IF($M$1=1,O1,IF($M$1=2,O2,0))),0)</f>
        <v>0</v>
      </c>
      <c r="P3" s="3">
        <f t="shared" si="0"/>
        <v>0</v>
      </c>
      <c r="S3" s="3">
        <f>IF($C$4=3,(IF($M$1=1,S1,IF($M$1=2,S2,0))),0)</f>
        <v>0</v>
      </c>
      <c r="T3" s="3">
        <f>IF($C$4=3,(IF($M$1=1,T1,IF($M$1=2,T2,0))),0)</f>
        <v>0</v>
      </c>
      <c r="U3" s="3">
        <f>IF($C$4=3,(IF($M$1=1,U1,IF($M$1=2,U2,0))),0)</f>
        <v>0</v>
      </c>
      <c r="V3" s="3">
        <f>IF($C$4=3,(IF($M$1=1,V1,IF($M$1=2,V2,0))),0)</f>
        <v>0</v>
      </c>
      <c r="W3" s="3">
        <f t="shared" ref="W3:Y3" si="1">IF($C$4=3,(IF($M$1=1,W1,IF($M$1=2,W2,0))),0)</f>
        <v>0</v>
      </c>
      <c r="X3" s="3">
        <f t="shared" si="1"/>
        <v>0</v>
      </c>
      <c r="Y3" s="3">
        <f t="shared" si="1"/>
        <v>0</v>
      </c>
      <c r="Z3" s="3">
        <f>IF($C$4=3,(IF($M$1=1,Z1,IF($M$1=2,Z2,0))),0)</f>
        <v>0</v>
      </c>
      <c r="AA3" s="3">
        <f>IF($C$4=3,(IF($M$1=1,AA1,IF($M$1=2,AA2,0))),0)</f>
        <v>0</v>
      </c>
      <c r="AB3" s="3">
        <f>IF($C$4=3,(IF($M$1=1,AB1,IF($M$1=2,AB2,0))),0)</f>
        <v>0</v>
      </c>
      <c r="AD3" s="3">
        <f>IF($C$4=3,(IF($M$1=1,AD1,IF($M$1=2,AD2,0))),0)</f>
        <v>0</v>
      </c>
      <c r="AE3" s="3">
        <f>IF($C$4=3,(IF($M$1=1,AE1,IF($M$1=2,AE2,0))),0)</f>
        <v>0</v>
      </c>
      <c r="AF3" s="3">
        <f>IF($C$4=3,(IF($M$1=1,AF1,IF($M$1=2,AF2,0))),0)</f>
        <v>0</v>
      </c>
      <c r="AG3" s="3">
        <f>IF($C$4=3,(IF($M$1=1,AG1,IF($M$1=2,AG2,0))),0)</f>
        <v>0</v>
      </c>
    </row>
    <row r="4" spans="1:37" hidden="1" x14ac:dyDescent="0.25">
      <c r="C4" s="3">
        <f>C1+C2+C3</f>
        <v>2</v>
      </c>
      <c r="D4" s="3">
        <f>C1+C3</f>
        <v>1</v>
      </c>
      <c r="L4" s="3">
        <f>IF(C4=3,RIGHT(AI7,4)*1,0)</f>
        <v>0</v>
      </c>
      <c r="M4" s="3">
        <f>IFERROR(IF($C$4=3,(IF($M$1=1,VLOOKUP($AI$7,HOME!$D$7:$AA$18,12,0),IF($M$1=2,VLOOKUP($AI$7,HOME!$D$7:$AA$18,16,0),0))),0),0)</f>
        <v>0</v>
      </c>
    </row>
    <row r="5" spans="1:37" ht="30" x14ac:dyDescent="0.4">
      <c r="C5" s="53">
        <f>IF($C$4=3,DATE(L4,L3,1),0)</f>
        <v>0</v>
      </c>
      <c r="D5" s="53"/>
      <c r="E5" s="53"/>
      <c r="F5" s="53"/>
      <c r="G5" s="53"/>
      <c r="H5" s="53"/>
      <c r="I5" s="53"/>
      <c r="J5" s="53"/>
      <c r="K5" s="53">
        <f>EDATE(C5,1)-1</f>
        <v>30</v>
      </c>
      <c r="M5" s="3">
        <f>IFERROR(IF($C$4=3,(IF($M$1=1,VLOOKUP($AI$7,HOME!$D$7:$AA$18,13,0),IF($M$1=2,VLOOKUP($AI$7,HOME!$D$7:$AA$18,17,0),0))),0),0)</f>
        <v>0</v>
      </c>
      <c r="O5" s="997">
        <f>PROFILE!G1</f>
        <v>0</v>
      </c>
      <c r="P5" s="997"/>
      <c r="Q5" s="997"/>
      <c r="R5" s="997"/>
      <c r="S5" s="997"/>
      <c r="T5" s="997"/>
      <c r="U5" s="997"/>
      <c r="V5" s="997"/>
      <c r="W5" s="997"/>
      <c r="X5" s="997"/>
      <c r="Y5" s="997"/>
      <c r="Z5" s="997"/>
      <c r="AA5" s="997"/>
      <c r="AB5" s="997"/>
      <c r="AC5" s="997"/>
      <c r="AD5" s="997"/>
      <c r="AE5" s="997"/>
      <c r="AF5" s="997"/>
      <c r="AG5" s="997"/>
      <c r="AH5" s="997"/>
      <c r="AI5" s="997"/>
      <c r="AJ5" s="997"/>
      <c r="AK5" s="997"/>
    </row>
    <row r="6" spans="1:37" ht="18.75" customHeight="1" x14ac:dyDescent="0.3">
      <c r="A6" s="3">
        <v>1</v>
      </c>
      <c r="B6" s="3" t="s">
        <v>242</v>
      </c>
      <c r="M6" s="3">
        <f>IFERROR(IF($C$4=3,(IF($M$1=1,VLOOKUP($AI$7,HOME!$D$7:$AA$18,14,0),IF($M$1=2,VLOOKUP($AI$7,HOME!$D$7:$AA$18,18,0),0))),0),0)</f>
        <v>0</v>
      </c>
      <c r="O6" s="993" t="s">
        <v>211</v>
      </c>
      <c r="P6" s="993"/>
      <c r="Q6" s="994"/>
      <c r="R6" s="1000" t="s">
        <v>207</v>
      </c>
      <c r="S6" s="1000"/>
      <c r="T6" s="1000"/>
      <c r="U6" s="1000"/>
      <c r="V6" s="1000"/>
      <c r="W6" s="1000"/>
      <c r="X6" s="1005" t="s">
        <v>210</v>
      </c>
      <c r="Y6" s="1006"/>
      <c r="Z6" s="1006"/>
      <c r="AA6" s="1006"/>
      <c r="AB6" s="1006"/>
      <c r="AC6" s="1002" t="s">
        <v>208</v>
      </c>
      <c r="AD6" s="1002"/>
      <c r="AE6" s="1002"/>
      <c r="AF6" s="1002"/>
      <c r="AG6" s="1002"/>
      <c r="AH6" s="1002"/>
      <c r="AI6" s="993" t="s">
        <v>212</v>
      </c>
      <c r="AJ6" s="993"/>
      <c r="AK6" s="993"/>
    </row>
    <row r="7" spans="1:37" ht="15.75" customHeight="1" x14ac:dyDescent="0.25">
      <c r="A7" s="3">
        <v>2</v>
      </c>
      <c r="B7" s="3" t="s">
        <v>243</v>
      </c>
      <c r="C7" s="3" t="s">
        <v>152</v>
      </c>
      <c r="D7" s="3">
        <v>1</v>
      </c>
      <c r="E7" s="3">
        <v>1</v>
      </c>
      <c r="O7" s="995" t="s">
        <v>103</v>
      </c>
      <c r="P7" s="995"/>
      <c r="Q7" s="995"/>
      <c r="R7" s="54" t="s">
        <v>197</v>
      </c>
      <c r="S7" s="1010" t="s">
        <v>89</v>
      </c>
      <c r="T7" s="1010"/>
      <c r="U7" s="54" t="s">
        <v>117</v>
      </c>
      <c r="V7" s="54" t="s">
        <v>118</v>
      </c>
      <c r="W7" s="54" t="s">
        <v>119</v>
      </c>
      <c r="X7" s="1005"/>
      <c r="Y7" s="1006"/>
      <c r="Z7" s="1006"/>
      <c r="AA7" s="1006"/>
      <c r="AB7" s="1006"/>
      <c r="AC7" s="1001" t="s">
        <v>197</v>
      </c>
      <c r="AD7" s="1001"/>
      <c r="AE7" s="55" t="s">
        <v>89</v>
      </c>
      <c r="AF7" s="55" t="s">
        <v>117</v>
      </c>
      <c r="AG7" s="55" t="s">
        <v>118</v>
      </c>
      <c r="AH7" s="55" t="s">
        <v>119</v>
      </c>
      <c r="AI7" s="999" t="s">
        <v>158</v>
      </c>
      <c r="AJ7" s="999"/>
      <c r="AK7" s="999"/>
    </row>
    <row r="8" spans="1:37" ht="20.25" customHeight="1" x14ac:dyDescent="0.25">
      <c r="A8" s="3">
        <v>3</v>
      </c>
      <c r="B8" s="3" t="s">
        <v>244</v>
      </c>
      <c r="C8" s="3" t="s">
        <v>150</v>
      </c>
      <c r="D8" s="3">
        <v>2</v>
      </c>
      <c r="E8" s="3">
        <v>2</v>
      </c>
      <c r="O8" s="996"/>
      <c r="P8" s="996"/>
      <c r="Q8" s="996"/>
      <c r="R8" s="56">
        <f>IF($C$4=3,VLOOKUP($AI$7,DATA!$U$8:$BY$19,O3,0),0)</f>
        <v>0</v>
      </c>
      <c r="S8" s="1011">
        <f>IF($C$4=3,VLOOKUP($AI$7,DATA!$U$8:$BY$19,P3,0),0)</f>
        <v>0</v>
      </c>
      <c r="T8" s="1012"/>
      <c r="U8" s="56">
        <f>IF($C$4=3,VLOOKUP($AI$7,DATA!$U$8:$BY$19,W3,0),0)</f>
        <v>0</v>
      </c>
      <c r="V8" s="56">
        <f>IF($C$4=3,VLOOKUP($AI$7,DATA!$U$8:$BY$19,X3,0),0)</f>
        <v>0</v>
      </c>
      <c r="W8" s="56">
        <f>IF($C$4=3,VLOOKUP($AI$7,DATA!$U$8:$BY$19,Y3,0),0)</f>
        <v>0</v>
      </c>
      <c r="X8" s="1007"/>
      <c r="Y8" s="1008"/>
      <c r="Z8" s="1008"/>
      <c r="AA8" s="1008"/>
      <c r="AB8" s="1008"/>
      <c r="AC8" s="1003">
        <f>R8+U43-W43-Z43</f>
        <v>0</v>
      </c>
      <c r="AD8" s="1004"/>
      <c r="AE8" s="57">
        <f>S8+V43-X43-AA43</f>
        <v>0</v>
      </c>
      <c r="AF8" s="57">
        <f>U8+AE43-AH43</f>
        <v>0</v>
      </c>
      <c r="AG8" s="57">
        <f t="shared" ref="AG8:AH8" si="2">V8+AF43-AI43</f>
        <v>0</v>
      </c>
      <c r="AH8" s="57">
        <f t="shared" si="2"/>
        <v>0</v>
      </c>
      <c r="AI8" s="996"/>
      <c r="AJ8" s="996"/>
      <c r="AK8" s="996"/>
    </row>
    <row r="9" spans="1:37" ht="23.25" customHeight="1" x14ac:dyDescent="0.25">
      <c r="A9" s="3">
        <v>4</v>
      </c>
      <c r="B9" s="3" t="s">
        <v>245</v>
      </c>
      <c r="C9" s="3" t="s">
        <v>151</v>
      </c>
      <c r="D9" s="3">
        <v>1</v>
      </c>
      <c r="E9" s="3">
        <v>2</v>
      </c>
      <c r="O9" s="966" t="s">
        <v>178</v>
      </c>
      <c r="P9" s="973" t="s">
        <v>142</v>
      </c>
      <c r="Q9" s="984" t="s">
        <v>143</v>
      </c>
      <c r="R9" s="985"/>
      <c r="S9" s="981" t="s">
        <v>70</v>
      </c>
      <c r="T9" s="990" t="s">
        <v>209</v>
      </c>
      <c r="U9" s="991"/>
      <c r="V9" s="991"/>
      <c r="W9" s="991"/>
      <c r="X9" s="991"/>
      <c r="Y9" s="991"/>
      <c r="Z9" s="991"/>
      <c r="AA9" s="992"/>
      <c r="AB9" s="998" t="s">
        <v>202</v>
      </c>
      <c r="AC9" s="998"/>
      <c r="AD9" s="978" t="s">
        <v>206</v>
      </c>
      <c r="AE9" s="979"/>
      <c r="AF9" s="979"/>
      <c r="AG9" s="979"/>
      <c r="AH9" s="979"/>
      <c r="AI9" s="979"/>
      <c r="AJ9" s="979"/>
      <c r="AK9" s="980"/>
    </row>
    <row r="10" spans="1:37" ht="37.5" customHeight="1" x14ac:dyDescent="0.25">
      <c r="A10" s="3">
        <v>5</v>
      </c>
      <c r="B10" s="3" t="s">
        <v>246</v>
      </c>
      <c r="C10" s="3" t="s">
        <v>189</v>
      </c>
      <c r="D10" s="3">
        <v>2</v>
      </c>
      <c r="E10" s="3">
        <v>1</v>
      </c>
      <c r="O10" s="966"/>
      <c r="P10" s="974"/>
      <c r="Q10" s="986"/>
      <c r="R10" s="987"/>
      <c r="S10" s="982"/>
      <c r="T10" s="968" t="s">
        <v>74</v>
      </c>
      <c r="U10" s="970" t="s">
        <v>199</v>
      </c>
      <c r="V10" s="971"/>
      <c r="W10" s="970" t="s">
        <v>200</v>
      </c>
      <c r="X10" s="972"/>
      <c r="Y10" s="971"/>
      <c r="Z10" s="965" t="s">
        <v>201</v>
      </c>
      <c r="AA10" s="965"/>
      <c r="AB10" s="967" t="s">
        <v>74</v>
      </c>
      <c r="AC10" s="976" t="s">
        <v>203</v>
      </c>
      <c r="AD10" s="977" t="s">
        <v>74</v>
      </c>
      <c r="AE10" s="964" t="s">
        <v>205</v>
      </c>
      <c r="AF10" s="964"/>
      <c r="AG10" s="964"/>
      <c r="AH10" s="964" t="s">
        <v>204</v>
      </c>
      <c r="AI10" s="964"/>
      <c r="AJ10" s="964"/>
      <c r="AK10" s="964"/>
    </row>
    <row r="11" spans="1:37" ht="18" customHeight="1" x14ac:dyDescent="0.25">
      <c r="A11" s="3">
        <v>6</v>
      </c>
      <c r="B11" s="3" t="s">
        <v>247</v>
      </c>
      <c r="C11" s="3" t="s">
        <v>151</v>
      </c>
      <c r="D11" s="3">
        <v>1</v>
      </c>
      <c r="E11" s="3">
        <v>2</v>
      </c>
      <c r="O11" s="966"/>
      <c r="P11" s="975"/>
      <c r="Q11" s="988"/>
      <c r="R11" s="989"/>
      <c r="S11" s="983"/>
      <c r="T11" s="969"/>
      <c r="U11" s="58" t="s">
        <v>197</v>
      </c>
      <c r="V11" s="58" t="s">
        <v>89</v>
      </c>
      <c r="W11" s="58" t="s">
        <v>197</v>
      </c>
      <c r="X11" s="58" t="s">
        <v>89</v>
      </c>
      <c r="Y11" s="58" t="s">
        <v>1</v>
      </c>
      <c r="Z11" s="58" t="s">
        <v>197</v>
      </c>
      <c r="AA11" s="58" t="s">
        <v>89</v>
      </c>
      <c r="AB11" s="967"/>
      <c r="AC11" s="976"/>
      <c r="AD11" s="977"/>
      <c r="AE11" s="59" t="s">
        <v>117</v>
      </c>
      <c r="AF11" s="59" t="s">
        <v>118</v>
      </c>
      <c r="AG11" s="59" t="s">
        <v>119</v>
      </c>
      <c r="AH11" s="59" t="s">
        <v>117</v>
      </c>
      <c r="AI11" s="59" t="s">
        <v>118</v>
      </c>
      <c r="AJ11" s="59" t="s">
        <v>119</v>
      </c>
      <c r="AK11" s="60" t="s">
        <v>1</v>
      </c>
    </row>
    <row r="12" spans="1:37" ht="20.100000000000001" customHeight="1" x14ac:dyDescent="0.25">
      <c r="A12" s="3">
        <v>7</v>
      </c>
      <c r="B12" s="3" t="s">
        <v>248</v>
      </c>
      <c r="C12" s="3" t="s">
        <v>152</v>
      </c>
      <c r="D12" s="3">
        <v>1</v>
      </c>
      <c r="E12" s="3">
        <v>1</v>
      </c>
      <c r="F12" s="3">
        <f>IFERROR(IF($C$4=3,INDEX(DALLY!$N$14:$KZ$44,$M12,MATCH($AI$7,DALLY!$N$10:$KZ$10,0)+U$3),0),0)</f>
        <v>0</v>
      </c>
      <c r="G12" s="3">
        <f>IFERROR(IF($C$4=3,INDEX(DALLY!$N$14:$KZ$44,$M12,MATCH($AI$7,DALLY!$N$10:$KZ$10,0)+V$3),0),0)</f>
        <v>0</v>
      </c>
      <c r="H12" s="3">
        <f>IF(N12&gt;=1,(IF(L12=0,(IF(LEN(Q12)&gt;=5,VLOOKUP(Q12,$C$6:$E$12,3,0),0)),0)),0)</f>
        <v>0</v>
      </c>
      <c r="I12" s="3">
        <f>IF(N12&gt;=1,(IF(L12=0,(IF(LEN(Q12)&gt;=5,VLOOKUP(Q12,$C$6:$D$12,2,0),0)),0)),0)</f>
        <v>0</v>
      </c>
      <c r="J12" s="3" t="str">
        <f>IF($C$4=3,(IF(L12=0,(IF(N12&gt;=1,INDEX(DALLY!$M$14:$KZ$44,M12,MATCH($AI$7,DALLY!$L$10:$KZ$10,0)+3),"")),"")),"")</f>
        <v/>
      </c>
      <c r="K12" s="53">
        <f>IF($C$4=3,INDEX(AWAKASH!$F$10:$FS$40,$M12,MATCH($AI$7,AWAKASH!$F$6:$FS$6,0)+1),0)</f>
        <v>0</v>
      </c>
      <c r="L12" s="3">
        <f>IF(O12&gt;=2000,COUNTIF($K$12:$K$42,O12),0)</f>
        <v>0</v>
      </c>
      <c r="M12" s="3">
        <v>1</v>
      </c>
      <c r="N12" s="3">
        <f>IF(O12&gt;=1000,WEEKDAY(O12),0)</f>
        <v>0</v>
      </c>
      <c r="O12" s="61">
        <f>IF($C$4=3,(IF($K$5&gt;=DATE($L$4,$L$3,M12),DATE($L$4,$L$3,M12),0)),0)</f>
        <v>0</v>
      </c>
      <c r="P12" s="62" t="str">
        <f>IF(O12&gt;=1000,WEEKDAY(O12),"")</f>
        <v/>
      </c>
      <c r="Q12" s="962" t="str">
        <f>IF($C$4=3,(IF(L12=0,(IF(N12&gt;=1,(IF(LEN(J12)&gt;=3,J12,IF(LEN(J12)&gt;=1,VLOOKUP(N12,$A$6:$C$12,3,0),""))),"")),"")),"")</f>
        <v/>
      </c>
      <c r="R12" s="963"/>
      <c r="S12" s="63">
        <f>IFERROR(IF($C$4=3,INDEX(DALLY!$N$14:$KZ$44,$M12,MATCH($AI$7,DALLY!$N$10:$KZ$10,0)+S$3),0),0)</f>
        <v>0</v>
      </c>
      <c r="T12" s="64">
        <f>IFERROR(IF($C$4=3,INDEX(DALLY!$N$14:$KZ$44,$M12,MATCH($AI$7,DALLY!$N$10:$KZ$10,0)+T$3),0),0)</f>
        <v>0</v>
      </c>
      <c r="U12" s="65">
        <f>IF(F12&gt;=1,F12,0)</f>
        <v>0</v>
      </c>
      <c r="V12" s="65">
        <f>IF(G12&gt;=1,G12,0)</f>
        <v>0</v>
      </c>
      <c r="W12" s="66">
        <f>IF($C$4=3,(IF($I12=1,$T12*$M$2/1000,0)),0)</f>
        <v>0</v>
      </c>
      <c r="X12" s="66">
        <f>IF($C$4=3,(IF($I12=2,$T12*$M$2/1000,0)),0)</f>
        <v>0</v>
      </c>
      <c r="Y12" s="66">
        <f>W12+X12</f>
        <v>0</v>
      </c>
      <c r="Z12" s="65">
        <f>IF(F12&lt;1,F12*(-1),0)</f>
        <v>0</v>
      </c>
      <c r="AA12" s="65">
        <f>IF(G12&lt;1,G12*(-1),0)</f>
        <v>0</v>
      </c>
      <c r="AB12" s="67">
        <f>IFERROR(IF($C$4=3,INDEX(DALLY!$N$14:$KZ$44,$M12,MATCH($AI$7,DALLY!$N$10:$KZ$10,0)+AB$3),0),0)</f>
        <v>0</v>
      </c>
      <c r="AC12" s="68">
        <f>IF($C$4=3,$AB12*$M$3/1000,0)</f>
        <v>0</v>
      </c>
      <c r="AD12" s="69">
        <f>IFERROR(IF($C$4=3,(IF($F$3=2,(IF(H12=2,INDEX(DALLY!$N$14:$KZ$44,$M12,MATCH($AI$7,DALLY!$N$10:$KZ$10,0)+AD$3),0)),0)),0),0)</f>
        <v>0</v>
      </c>
      <c r="AE12" s="70">
        <f>IFERROR(IF($C$4=3,(IF($F$3=2,INDEX(DALLY!$N$14:$KZ$44,$M12,MATCH($AI$7,DALLY!$N$10:$KZ$10,0)+AE$3),0)),0),0)</f>
        <v>0</v>
      </c>
      <c r="AF12" s="70">
        <f>IFERROR(IF($C$4=3,(IF($F$3=2,INDEX(DALLY!$N$14:$KZ$44,$M12,MATCH($AI$7,DALLY!$N$10:$KZ$10,0)+AF$3),0)),0),0)</f>
        <v>0</v>
      </c>
      <c r="AG12" s="70">
        <f>IFERROR(IF($C$4=3,(IF($F$3=2,INDEX(DALLY!$N$14:$KZ$44,$M12,MATCH($AI$7,DALLY!$N$10:$KZ$10,0)+AG$3),0)),0),0)</f>
        <v>0</v>
      </c>
      <c r="AH12" s="71">
        <f>IF($C$4=3,(IF($F$3=2,(IF($H12=2,$AB12*$M$4/1000,0)),0)),0)</f>
        <v>0</v>
      </c>
      <c r="AI12" s="71">
        <f>IF($C$4=3,(IF($F$3=2,(IF($H12=2,$AB12*$M$5/1000,0)),0)),0)</f>
        <v>0</v>
      </c>
      <c r="AJ12" s="71">
        <f>IF($C$4=3,(IF($F$3=2,(IF($H12=2,$AB12*$M$6/1000,0)),0)),0)</f>
        <v>0</v>
      </c>
      <c r="AK12" s="72">
        <f>SUM(AH12:AJ12)</f>
        <v>0</v>
      </c>
    </row>
    <row r="13" spans="1:37" ht="20.100000000000001" customHeight="1" x14ac:dyDescent="0.25">
      <c r="F13" s="3">
        <f>IFERROR(IF($C$4=3,INDEX(DALLY!$N$14:$KZ$44,$M13,MATCH($AI$7,DALLY!$N$10:$KZ$10,0)+U$3),0),0)</f>
        <v>0</v>
      </c>
      <c r="G13" s="3">
        <f>IFERROR(IF($C$4=3,INDEX(DALLY!$N$14:$KZ$44,$M13,MATCH($AI$7,DALLY!$N$10:$KZ$10,0)+V$3),0),0)</f>
        <v>0</v>
      </c>
      <c r="H13" s="3">
        <f t="shared" ref="H13:H42" si="3">IF(N13&gt;=1,(IF(L13=0,(IF(LEN(Q13)&gt;=5,VLOOKUP(Q13,$C$6:$E$12,3,0),0)),0)),0)</f>
        <v>0</v>
      </c>
      <c r="I13" s="3">
        <f t="shared" ref="I13:I42" si="4">IF(N13&gt;=1,(IF(L13=0,(IF(LEN(Q13)&gt;=5,VLOOKUP(Q13,$C$6:$D$12,2,0),0)),0)),0)</f>
        <v>0</v>
      </c>
      <c r="J13" s="3" t="str">
        <f>IF($C$4=3,(IF(L13=0,(IF(N13&gt;=1,INDEX(DALLY!$M$14:$KZ$44,M13,MATCH($AI$7,DALLY!$L$10:$KZ$10,0)+3),"")),"")),"")</f>
        <v/>
      </c>
      <c r="K13" s="53">
        <f>IF($C$4=3,INDEX(AWAKASH!$F$10:$FS$40,$M13,MATCH($AI$7,AWAKASH!$F$6:$FS$6,0)+1),0)</f>
        <v>0</v>
      </c>
      <c r="L13" s="3">
        <f t="shared" ref="L13:L42" si="5">IF(O13&gt;=2000,COUNTIF($K$12:$K$42,O13),0)</f>
        <v>0</v>
      </c>
      <c r="M13" s="3">
        <v>2</v>
      </c>
      <c r="N13" s="3">
        <f t="shared" ref="N13:N42" si="6">IF(O13&gt;=1000,WEEKDAY(O13),0)</f>
        <v>0</v>
      </c>
      <c r="O13" s="61">
        <f t="shared" ref="O13:O42" si="7">IF($C$4=3,(IF($K$5&gt;=DATE($L$4,$L$3,M13),DATE($L$4,$L$3,M13),0)),0)</f>
        <v>0</v>
      </c>
      <c r="P13" s="62" t="str">
        <f t="shared" ref="P13:P42" si="8">IF(O13&gt;=1000,WEEKDAY(O13),"")</f>
        <v/>
      </c>
      <c r="Q13" s="962" t="str">
        <f t="shared" ref="Q13:Q42" si="9">IF($C$4=3,(IF(L13=0,(IF(N13&gt;=1,(IF(LEN(J13)&gt;=3,J13,IF(LEN(J13)&gt;=1,VLOOKUP(N13,$A$6:$C$12,3,0),""))),"")),"")),"")</f>
        <v/>
      </c>
      <c r="R13" s="963"/>
      <c r="S13" s="63">
        <f>IFERROR(IF($C$4=3,INDEX(DALLY!$N$14:$KZ$44,$M13,MATCH($AI$7,DALLY!$N$10:$KZ$10,0)+S$3),0),0)</f>
        <v>0</v>
      </c>
      <c r="T13" s="64">
        <f>IFERROR(IF($C$4=3,INDEX(DALLY!$N$14:$KZ$44,$M13,MATCH($AI$7,DALLY!$N$10:$KZ$10,0)+T$3),0),0)</f>
        <v>0</v>
      </c>
      <c r="U13" s="65">
        <f t="shared" ref="U13:U42" si="10">IF(F13&gt;=1,F13,0)</f>
        <v>0</v>
      </c>
      <c r="V13" s="65">
        <f t="shared" ref="V13:V42" si="11">IF(G13&gt;=1,G13,0)</f>
        <v>0</v>
      </c>
      <c r="W13" s="66">
        <f t="shared" ref="W13:W42" si="12">IF($C$4=3,(IF($I13=1,$T13*$M$2/1000,0)),0)</f>
        <v>0</v>
      </c>
      <c r="X13" s="66">
        <f t="shared" ref="X13:X42" si="13">IF($C$4=3,(IF($I13=2,$T13*$M$2/1000,0)),0)</f>
        <v>0</v>
      </c>
      <c r="Y13" s="66">
        <f t="shared" ref="Y13:Y42" si="14">W13+X13</f>
        <v>0</v>
      </c>
      <c r="Z13" s="65">
        <f t="shared" ref="Z13:AA42" si="15">IF(F13&lt;1,F13*(-1),0)</f>
        <v>0</v>
      </c>
      <c r="AA13" s="65">
        <f t="shared" si="15"/>
        <v>0</v>
      </c>
      <c r="AB13" s="67">
        <f>IFERROR(IF($C$4=3,INDEX(DALLY!$N$14:$KZ$44,$M13,MATCH($AI$7,DALLY!$N$10:$KZ$10,0)+AB$3),0),0)</f>
        <v>0</v>
      </c>
      <c r="AC13" s="68">
        <f t="shared" ref="AC13:AC42" si="16">IF($C$4=3,$AB13*$M$3/1000,0)</f>
        <v>0</v>
      </c>
      <c r="AD13" s="69">
        <f>IFERROR(IF($C$4=3,(IF($F$3=2,(IF(H13=2,INDEX(DALLY!$N$14:$KZ$44,$M13,MATCH($AI$7,DALLY!$N$10:$KZ$10,0)+AD$3),0)),0)),0),0)</f>
        <v>0</v>
      </c>
      <c r="AE13" s="70">
        <f>IFERROR(IF($C$4=3,(IF($F$3=2,INDEX(DALLY!$N$14:$KZ$44,$M13,MATCH($AI$7,DALLY!$N$10:$KZ$10,0)+AE$3),0)),0),0)</f>
        <v>0</v>
      </c>
      <c r="AF13" s="70">
        <f>IFERROR(IF($C$4=3,(IF($F$3=2,INDEX(DALLY!$N$14:$KZ$44,$M13,MATCH($AI$7,DALLY!$N$10:$KZ$10,0)+AF$3),0)),0),0)</f>
        <v>0</v>
      </c>
      <c r="AG13" s="70">
        <f>IFERROR(IF($C$4=3,(IF($F$3=2,INDEX(DALLY!$N$14:$KZ$44,$M13,MATCH($AI$7,DALLY!$N$10:$KZ$10,0)+AG$3),0)),0),0)</f>
        <v>0</v>
      </c>
      <c r="AH13" s="71">
        <f t="shared" ref="AH13:AH42" si="17">IF($C$4=3,(IF($F$3=2,(IF($H13=2,$AB13*$M$4/1000,0)),0)),0)</f>
        <v>0</v>
      </c>
      <c r="AI13" s="71">
        <f t="shared" ref="AI13:AI42" si="18">IF($C$4=3,(IF($F$3=2,(IF($H13=2,$AB13*$M$5/1000,0)),0)),0)</f>
        <v>0</v>
      </c>
      <c r="AJ13" s="71">
        <f t="shared" ref="AJ13:AJ42" si="19">IF($C$4=3,(IF($F$3=2,(IF($H13=2,$AB13*$M$6/1000,0)),0)),0)</f>
        <v>0</v>
      </c>
      <c r="AK13" s="72">
        <f t="shared" ref="AK13:AK42" si="20">SUM(AH13:AJ13)</f>
        <v>0</v>
      </c>
    </row>
    <row r="14" spans="1:37" ht="20.100000000000001" customHeight="1" x14ac:dyDescent="0.25">
      <c r="F14" s="3">
        <f>IFERROR(IF($C$4=3,INDEX(DALLY!$N$14:$KZ$44,$M14,MATCH($AI$7,DALLY!$N$10:$KZ$10,0)+U$3),0),0)</f>
        <v>0</v>
      </c>
      <c r="G14" s="3">
        <f>IFERROR(IF($C$4=3,INDEX(DALLY!$N$14:$KZ$44,$M14,MATCH($AI$7,DALLY!$N$10:$KZ$10,0)+V$3),0),0)</f>
        <v>0</v>
      </c>
      <c r="H14" s="3">
        <f t="shared" si="3"/>
        <v>0</v>
      </c>
      <c r="I14" s="3">
        <f t="shared" si="4"/>
        <v>0</v>
      </c>
      <c r="J14" s="3" t="str">
        <f>IF($C$4=3,(IF(L14=0,(IF(N14&gt;=1,INDEX(DALLY!$M$14:$KZ$44,M14,MATCH($AI$7,DALLY!$L$10:$KZ$10,0)+3),"")),"")),"")</f>
        <v/>
      </c>
      <c r="K14" s="53">
        <f>IF($C$4=3,INDEX(AWAKASH!$F$10:$FS$40,$M14,MATCH($AI$7,AWAKASH!$F$6:$FS$6,0)+1),0)</f>
        <v>0</v>
      </c>
      <c r="L14" s="3">
        <f t="shared" si="5"/>
        <v>0</v>
      </c>
      <c r="M14" s="3">
        <v>3</v>
      </c>
      <c r="N14" s="3">
        <f t="shared" si="6"/>
        <v>0</v>
      </c>
      <c r="O14" s="61">
        <f t="shared" si="7"/>
        <v>0</v>
      </c>
      <c r="P14" s="62" t="str">
        <f t="shared" si="8"/>
        <v/>
      </c>
      <c r="Q14" s="962" t="str">
        <f t="shared" si="9"/>
        <v/>
      </c>
      <c r="R14" s="963"/>
      <c r="S14" s="63">
        <f>IFERROR(IF($C$4=3,INDEX(DALLY!$N$14:$KZ$44,$M14,MATCH($AI$7,DALLY!$N$10:$KZ$10,0)+S$3),0),0)</f>
        <v>0</v>
      </c>
      <c r="T14" s="64">
        <f>IFERROR(IF($C$4=3,INDEX(DALLY!$N$14:$KZ$44,$M14,MATCH($AI$7,DALLY!$N$10:$KZ$10,0)+T$3),0),0)</f>
        <v>0</v>
      </c>
      <c r="U14" s="65">
        <f t="shared" si="10"/>
        <v>0</v>
      </c>
      <c r="V14" s="65">
        <f t="shared" si="11"/>
        <v>0</v>
      </c>
      <c r="W14" s="66">
        <f t="shared" si="12"/>
        <v>0</v>
      </c>
      <c r="X14" s="66">
        <f t="shared" si="13"/>
        <v>0</v>
      </c>
      <c r="Y14" s="66">
        <f t="shared" si="14"/>
        <v>0</v>
      </c>
      <c r="Z14" s="65">
        <f t="shared" si="15"/>
        <v>0</v>
      </c>
      <c r="AA14" s="65">
        <f t="shared" si="15"/>
        <v>0</v>
      </c>
      <c r="AB14" s="67">
        <f>IFERROR(IF($C$4=3,INDEX(DALLY!$N$14:$KZ$44,$M14,MATCH($AI$7,DALLY!$N$10:$KZ$10,0)+AB$3),0),0)</f>
        <v>0</v>
      </c>
      <c r="AC14" s="68">
        <f t="shared" si="16"/>
        <v>0</v>
      </c>
      <c r="AD14" s="69">
        <f>IFERROR(IF($C$4=3,(IF($F$3=2,(IF(H14=2,INDEX(DALLY!$N$14:$KZ$44,$M14,MATCH($AI$7,DALLY!$N$10:$KZ$10,0)+AD$3),0)),0)),0),0)</f>
        <v>0</v>
      </c>
      <c r="AE14" s="70">
        <f>IFERROR(IF($C$4=3,(IF($F$3=2,INDEX(DALLY!$N$14:$KZ$44,$M14,MATCH($AI$7,DALLY!$N$10:$KZ$10,0)+AE$3),0)),0),0)</f>
        <v>0</v>
      </c>
      <c r="AF14" s="70">
        <f>IFERROR(IF($C$4=3,(IF($F$3=2,INDEX(DALLY!$N$14:$KZ$44,$M14,MATCH($AI$7,DALLY!$N$10:$KZ$10,0)+AF$3),0)),0),0)</f>
        <v>0</v>
      </c>
      <c r="AG14" s="70">
        <f>IFERROR(IF($C$4=3,(IF($F$3=2,INDEX(DALLY!$N$14:$KZ$44,$M14,MATCH($AI$7,DALLY!$N$10:$KZ$10,0)+AG$3),0)),0),0)</f>
        <v>0</v>
      </c>
      <c r="AH14" s="71">
        <f t="shared" si="17"/>
        <v>0</v>
      </c>
      <c r="AI14" s="71">
        <f t="shared" si="18"/>
        <v>0</v>
      </c>
      <c r="AJ14" s="71">
        <f t="shared" si="19"/>
        <v>0</v>
      </c>
      <c r="AK14" s="72">
        <f t="shared" si="20"/>
        <v>0</v>
      </c>
    </row>
    <row r="15" spans="1:37" ht="20.100000000000001" customHeight="1" x14ac:dyDescent="0.25">
      <c r="F15" s="3">
        <f>IFERROR(IF($C$4=3,INDEX(DALLY!$N$14:$KZ$44,$M15,MATCH($AI$7,DALLY!$N$10:$KZ$10,0)+U$3),0),0)</f>
        <v>0</v>
      </c>
      <c r="G15" s="3">
        <f>IFERROR(IF($C$4=3,INDEX(DALLY!$N$14:$KZ$44,$M15,MATCH($AI$7,DALLY!$N$10:$KZ$10,0)+V$3),0),0)</f>
        <v>0</v>
      </c>
      <c r="H15" s="3">
        <f t="shared" si="3"/>
        <v>0</v>
      </c>
      <c r="I15" s="3">
        <f t="shared" si="4"/>
        <v>0</v>
      </c>
      <c r="J15" s="3" t="str">
        <f>IF($C$4=3,(IF(L15=0,(IF(N15&gt;=1,INDEX(DALLY!$M$14:$KZ$44,M15,MATCH($AI$7,DALLY!$L$10:$KZ$10,0)+3),"")),"")),"")</f>
        <v/>
      </c>
      <c r="K15" s="53">
        <f>IF($C$4=3,INDEX(AWAKASH!$F$10:$FS$40,$M15,MATCH($AI$7,AWAKASH!$F$6:$FS$6,0)+1),0)</f>
        <v>0</v>
      </c>
      <c r="L15" s="3">
        <f t="shared" si="5"/>
        <v>0</v>
      </c>
      <c r="M15" s="3">
        <v>4</v>
      </c>
      <c r="N15" s="3">
        <f t="shared" si="6"/>
        <v>0</v>
      </c>
      <c r="O15" s="61">
        <f t="shared" si="7"/>
        <v>0</v>
      </c>
      <c r="P15" s="62" t="str">
        <f t="shared" si="8"/>
        <v/>
      </c>
      <c r="Q15" s="962" t="str">
        <f t="shared" si="9"/>
        <v/>
      </c>
      <c r="R15" s="963"/>
      <c r="S15" s="63">
        <f>IFERROR(IF($C$4=3,INDEX(DALLY!$N$14:$KZ$44,$M15,MATCH($AI$7,DALLY!$N$10:$KZ$10,0)+S$3),0),0)</f>
        <v>0</v>
      </c>
      <c r="T15" s="64">
        <f>IFERROR(IF($C$4=3,INDEX(DALLY!$N$14:$KZ$44,$M15,MATCH($AI$7,DALLY!$N$10:$KZ$10,0)+T$3),0),0)</f>
        <v>0</v>
      </c>
      <c r="U15" s="65">
        <f t="shared" si="10"/>
        <v>0</v>
      </c>
      <c r="V15" s="65">
        <f t="shared" si="11"/>
        <v>0</v>
      </c>
      <c r="W15" s="66">
        <f t="shared" si="12"/>
        <v>0</v>
      </c>
      <c r="X15" s="66">
        <f t="shared" si="13"/>
        <v>0</v>
      </c>
      <c r="Y15" s="66">
        <f t="shared" si="14"/>
        <v>0</v>
      </c>
      <c r="Z15" s="65">
        <f t="shared" si="15"/>
        <v>0</v>
      </c>
      <c r="AA15" s="65">
        <f t="shared" si="15"/>
        <v>0</v>
      </c>
      <c r="AB15" s="67">
        <f>IFERROR(IF($C$4=3,INDEX(DALLY!$N$14:$KZ$44,$M15,MATCH($AI$7,DALLY!$N$10:$KZ$10,0)+AB$3),0),0)</f>
        <v>0</v>
      </c>
      <c r="AC15" s="68">
        <f t="shared" si="16"/>
        <v>0</v>
      </c>
      <c r="AD15" s="69">
        <f>IFERROR(IF($C$4=3,(IF($F$3=2,(IF(H15=2,INDEX(DALLY!$N$14:$KZ$44,$M15,MATCH($AI$7,DALLY!$N$10:$KZ$10,0)+AD$3),0)),0)),0),0)</f>
        <v>0</v>
      </c>
      <c r="AE15" s="70">
        <f>IFERROR(IF($C$4=3,(IF($F$3=2,INDEX(DALLY!$N$14:$KZ$44,$M15,MATCH($AI$7,DALLY!$N$10:$KZ$10,0)+AE$3),0)),0),0)</f>
        <v>0</v>
      </c>
      <c r="AF15" s="70">
        <f>IFERROR(IF($C$4=3,(IF($F$3=2,INDEX(DALLY!$N$14:$KZ$44,$M15,MATCH($AI$7,DALLY!$N$10:$KZ$10,0)+AF$3),0)),0),0)</f>
        <v>0</v>
      </c>
      <c r="AG15" s="70">
        <f>IFERROR(IF($C$4=3,(IF($F$3=2,INDEX(DALLY!$N$14:$KZ$44,$M15,MATCH($AI$7,DALLY!$N$10:$KZ$10,0)+AG$3),0)),0),0)</f>
        <v>0</v>
      </c>
      <c r="AH15" s="71">
        <f t="shared" si="17"/>
        <v>0</v>
      </c>
      <c r="AI15" s="71">
        <f t="shared" si="18"/>
        <v>0</v>
      </c>
      <c r="AJ15" s="71">
        <f t="shared" si="19"/>
        <v>0</v>
      </c>
      <c r="AK15" s="72">
        <f t="shared" si="20"/>
        <v>0</v>
      </c>
    </row>
    <row r="16" spans="1:37" ht="20.100000000000001" customHeight="1" x14ac:dyDescent="0.25">
      <c r="F16" s="3">
        <f>IFERROR(IF($C$4=3,INDEX(DALLY!$N$14:$KZ$44,$M16,MATCH($AI$7,DALLY!$N$10:$KZ$10,0)+U$3),0),0)</f>
        <v>0</v>
      </c>
      <c r="G16" s="3">
        <f>IFERROR(IF($C$4=3,INDEX(DALLY!$N$14:$KZ$44,$M16,MATCH($AI$7,DALLY!$N$10:$KZ$10,0)+V$3),0),0)</f>
        <v>0</v>
      </c>
      <c r="H16" s="3">
        <f t="shared" si="3"/>
        <v>0</v>
      </c>
      <c r="I16" s="3">
        <f t="shared" si="4"/>
        <v>0</v>
      </c>
      <c r="J16" s="3" t="str">
        <f>IF($C$4=3,(IF(L16=0,(IF(N16&gt;=1,INDEX(DALLY!$M$14:$KZ$44,M16,MATCH($AI$7,DALLY!$L$10:$KZ$10,0)+3),"")),"")),"")</f>
        <v/>
      </c>
      <c r="K16" s="53">
        <f>IF($C$4=3,INDEX(AWAKASH!$F$10:$FS$40,$M16,MATCH($AI$7,AWAKASH!$F$6:$FS$6,0)+1),0)</f>
        <v>0</v>
      </c>
      <c r="L16" s="3">
        <f t="shared" si="5"/>
        <v>0</v>
      </c>
      <c r="M16" s="3">
        <v>5</v>
      </c>
      <c r="N16" s="3">
        <f t="shared" si="6"/>
        <v>0</v>
      </c>
      <c r="O16" s="61">
        <f t="shared" si="7"/>
        <v>0</v>
      </c>
      <c r="P16" s="62" t="str">
        <f t="shared" si="8"/>
        <v/>
      </c>
      <c r="Q16" s="962" t="str">
        <f t="shared" si="9"/>
        <v/>
      </c>
      <c r="R16" s="963"/>
      <c r="S16" s="63">
        <f>IFERROR(IF($C$4=3,INDEX(DALLY!$N$14:$KZ$44,$M16,MATCH($AI$7,DALLY!$N$10:$KZ$10,0)+S$3),0),0)</f>
        <v>0</v>
      </c>
      <c r="T16" s="64">
        <f>IFERROR(IF($C$4=3,INDEX(DALLY!$N$14:$KZ$44,$M16,MATCH($AI$7,DALLY!$N$10:$KZ$10,0)+T$3),0),0)</f>
        <v>0</v>
      </c>
      <c r="U16" s="65">
        <f t="shared" si="10"/>
        <v>0</v>
      </c>
      <c r="V16" s="65">
        <f t="shared" si="11"/>
        <v>0</v>
      </c>
      <c r="W16" s="66">
        <f t="shared" si="12"/>
        <v>0</v>
      </c>
      <c r="X16" s="66">
        <f t="shared" si="13"/>
        <v>0</v>
      </c>
      <c r="Y16" s="66">
        <f t="shared" si="14"/>
        <v>0</v>
      </c>
      <c r="Z16" s="65">
        <f t="shared" si="15"/>
        <v>0</v>
      </c>
      <c r="AA16" s="65">
        <f t="shared" si="15"/>
        <v>0</v>
      </c>
      <c r="AB16" s="67">
        <f>IFERROR(IF($C$4=3,INDEX(DALLY!$N$14:$KZ$44,$M16,MATCH($AI$7,DALLY!$N$10:$KZ$10,0)+AB$3),0),0)</f>
        <v>0</v>
      </c>
      <c r="AC16" s="68">
        <f t="shared" si="16"/>
        <v>0</v>
      </c>
      <c r="AD16" s="69">
        <f>IFERROR(IF($C$4=3,(IF($F$3=2,(IF(H16=2,INDEX(DALLY!$N$14:$KZ$44,$M16,MATCH($AI$7,DALLY!$N$10:$KZ$10,0)+AD$3),0)),0)),0),0)</f>
        <v>0</v>
      </c>
      <c r="AE16" s="70">
        <f>IFERROR(IF($C$4=3,(IF($F$3=2,INDEX(DALLY!$N$14:$KZ$44,$M16,MATCH($AI$7,DALLY!$N$10:$KZ$10,0)+AE$3),0)),0),0)</f>
        <v>0</v>
      </c>
      <c r="AF16" s="70">
        <f>IFERROR(IF($C$4=3,(IF($F$3=2,INDEX(DALLY!$N$14:$KZ$44,$M16,MATCH($AI$7,DALLY!$N$10:$KZ$10,0)+AF$3),0)),0),0)</f>
        <v>0</v>
      </c>
      <c r="AG16" s="70">
        <f>IFERROR(IF($C$4=3,(IF($F$3=2,INDEX(DALLY!$N$14:$KZ$44,$M16,MATCH($AI$7,DALLY!$N$10:$KZ$10,0)+AG$3),0)),0),0)</f>
        <v>0</v>
      </c>
      <c r="AH16" s="71">
        <f t="shared" si="17"/>
        <v>0</v>
      </c>
      <c r="AI16" s="71">
        <f t="shared" si="18"/>
        <v>0</v>
      </c>
      <c r="AJ16" s="71">
        <f t="shared" si="19"/>
        <v>0</v>
      </c>
      <c r="AK16" s="72">
        <f t="shared" si="20"/>
        <v>0</v>
      </c>
    </row>
    <row r="17" spans="6:37" ht="20.100000000000001" customHeight="1" x14ac:dyDescent="0.25">
      <c r="F17" s="3">
        <f>IFERROR(IF($C$4=3,INDEX(DALLY!$N$14:$KZ$44,$M17,MATCH($AI$7,DALLY!$N$10:$KZ$10,0)+U$3),0),0)</f>
        <v>0</v>
      </c>
      <c r="G17" s="3">
        <f>IFERROR(IF($C$4=3,INDEX(DALLY!$N$14:$KZ$44,$M17,MATCH($AI$7,DALLY!$N$10:$KZ$10,0)+V$3),0),0)</f>
        <v>0</v>
      </c>
      <c r="H17" s="3">
        <f t="shared" si="3"/>
        <v>0</v>
      </c>
      <c r="I17" s="3">
        <f t="shared" si="4"/>
        <v>0</v>
      </c>
      <c r="J17" s="3" t="str">
        <f>IF($C$4=3,(IF(L17=0,(IF(N17&gt;=1,INDEX(DALLY!$M$14:$KZ$44,M17,MATCH($AI$7,DALLY!$L$10:$KZ$10,0)+3),"")),"")),"")</f>
        <v/>
      </c>
      <c r="K17" s="53">
        <f>IF($C$4=3,INDEX(AWAKASH!$F$10:$FS$40,$M17,MATCH($AI$7,AWAKASH!$F$6:$FS$6,0)+1),0)</f>
        <v>0</v>
      </c>
      <c r="L17" s="3">
        <f t="shared" si="5"/>
        <v>0</v>
      </c>
      <c r="M17" s="3">
        <v>6</v>
      </c>
      <c r="N17" s="3">
        <f t="shared" si="6"/>
        <v>0</v>
      </c>
      <c r="O17" s="61">
        <f t="shared" si="7"/>
        <v>0</v>
      </c>
      <c r="P17" s="62" t="str">
        <f t="shared" si="8"/>
        <v/>
      </c>
      <c r="Q17" s="962" t="str">
        <f t="shared" si="9"/>
        <v/>
      </c>
      <c r="R17" s="963"/>
      <c r="S17" s="63">
        <f>IFERROR(IF($C$4=3,INDEX(DALLY!$N$14:$KZ$44,$M17,MATCH($AI$7,DALLY!$N$10:$KZ$10,0)+S$3),0),0)</f>
        <v>0</v>
      </c>
      <c r="T17" s="64">
        <f>IFERROR(IF($C$4=3,INDEX(DALLY!$N$14:$KZ$44,$M17,MATCH($AI$7,DALLY!$N$10:$KZ$10,0)+T$3),0),0)</f>
        <v>0</v>
      </c>
      <c r="U17" s="65">
        <f t="shared" si="10"/>
        <v>0</v>
      </c>
      <c r="V17" s="65">
        <f t="shared" si="11"/>
        <v>0</v>
      </c>
      <c r="W17" s="66">
        <f t="shared" si="12"/>
        <v>0</v>
      </c>
      <c r="X17" s="66">
        <f t="shared" si="13"/>
        <v>0</v>
      </c>
      <c r="Y17" s="66">
        <f t="shared" si="14"/>
        <v>0</v>
      </c>
      <c r="Z17" s="65">
        <f t="shared" si="15"/>
        <v>0</v>
      </c>
      <c r="AA17" s="65">
        <f t="shared" si="15"/>
        <v>0</v>
      </c>
      <c r="AB17" s="67">
        <f>IFERROR(IF($C$4=3,INDEX(DALLY!$N$14:$KZ$44,$M17,MATCH($AI$7,DALLY!$N$10:$KZ$10,0)+AB$3),0),0)</f>
        <v>0</v>
      </c>
      <c r="AC17" s="68">
        <f t="shared" si="16"/>
        <v>0</v>
      </c>
      <c r="AD17" s="69">
        <f>IFERROR(IF($C$4=3,(IF($F$3=2,(IF(H17=2,INDEX(DALLY!$N$14:$KZ$44,$M17,MATCH($AI$7,DALLY!$N$10:$KZ$10,0)+AD$3),0)),0)),0),0)</f>
        <v>0</v>
      </c>
      <c r="AE17" s="70">
        <f>IFERROR(IF($C$4=3,(IF($F$3=2,INDEX(DALLY!$N$14:$KZ$44,$M17,MATCH($AI$7,DALLY!$N$10:$KZ$10,0)+AE$3),0)),0),0)</f>
        <v>0</v>
      </c>
      <c r="AF17" s="70">
        <f>IFERROR(IF($C$4=3,(IF($F$3=2,INDEX(DALLY!$N$14:$KZ$44,$M17,MATCH($AI$7,DALLY!$N$10:$KZ$10,0)+AF$3),0)),0),0)</f>
        <v>0</v>
      </c>
      <c r="AG17" s="70">
        <f>IFERROR(IF($C$4=3,(IF($F$3=2,INDEX(DALLY!$N$14:$KZ$44,$M17,MATCH($AI$7,DALLY!$N$10:$KZ$10,0)+AG$3),0)),0),0)</f>
        <v>0</v>
      </c>
      <c r="AH17" s="71">
        <f t="shared" si="17"/>
        <v>0</v>
      </c>
      <c r="AI17" s="71">
        <f t="shared" si="18"/>
        <v>0</v>
      </c>
      <c r="AJ17" s="71">
        <f t="shared" si="19"/>
        <v>0</v>
      </c>
      <c r="AK17" s="72">
        <f t="shared" si="20"/>
        <v>0</v>
      </c>
    </row>
    <row r="18" spans="6:37" ht="20.100000000000001" customHeight="1" x14ac:dyDescent="0.25">
      <c r="F18" s="3">
        <f>IFERROR(IF($C$4=3,INDEX(DALLY!$N$14:$KZ$44,$M18,MATCH($AI$7,DALLY!$N$10:$KZ$10,0)+U$3),0),0)</f>
        <v>0</v>
      </c>
      <c r="G18" s="3">
        <f>IFERROR(IF($C$4=3,INDEX(DALLY!$N$14:$KZ$44,$M18,MATCH($AI$7,DALLY!$N$10:$KZ$10,0)+V$3),0),0)</f>
        <v>0</v>
      </c>
      <c r="H18" s="3">
        <f t="shared" si="3"/>
        <v>0</v>
      </c>
      <c r="I18" s="3">
        <f t="shared" si="4"/>
        <v>0</v>
      </c>
      <c r="J18" s="3" t="str">
        <f>IF($C$4=3,(IF(L18=0,(IF(N18&gt;=1,INDEX(DALLY!$M$14:$KZ$44,M18,MATCH($AI$7,DALLY!$L$10:$KZ$10,0)+3),"")),"")),"")</f>
        <v/>
      </c>
      <c r="K18" s="53">
        <f>IF($C$4=3,INDEX(AWAKASH!$F$10:$FS$40,$M18,MATCH($AI$7,AWAKASH!$F$6:$FS$6,0)+1),0)</f>
        <v>0</v>
      </c>
      <c r="L18" s="3">
        <f t="shared" si="5"/>
        <v>0</v>
      </c>
      <c r="M18" s="3">
        <v>7</v>
      </c>
      <c r="N18" s="3">
        <f t="shared" si="6"/>
        <v>0</v>
      </c>
      <c r="O18" s="61">
        <f t="shared" si="7"/>
        <v>0</v>
      </c>
      <c r="P18" s="62" t="str">
        <f t="shared" si="8"/>
        <v/>
      </c>
      <c r="Q18" s="962" t="str">
        <f t="shared" si="9"/>
        <v/>
      </c>
      <c r="R18" s="963"/>
      <c r="S18" s="63">
        <f>IFERROR(IF($C$4=3,INDEX(DALLY!$N$14:$KZ$44,$M18,MATCH($AI$7,DALLY!$N$10:$KZ$10,0)+S$3),0),0)</f>
        <v>0</v>
      </c>
      <c r="T18" s="64">
        <f>IFERROR(IF($C$4=3,INDEX(DALLY!$N$14:$KZ$44,$M18,MATCH($AI$7,DALLY!$N$10:$KZ$10,0)+T$3),0),0)</f>
        <v>0</v>
      </c>
      <c r="U18" s="65">
        <f t="shared" si="10"/>
        <v>0</v>
      </c>
      <c r="V18" s="65">
        <f t="shared" si="11"/>
        <v>0</v>
      </c>
      <c r="W18" s="66">
        <f t="shared" si="12"/>
        <v>0</v>
      </c>
      <c r="X18" s="66">
        <f t="shared" si="13"/>
        <v>0</v>
      </c>
      <c r="Y18" s="66">
        <f t="shared" si="14"/>
        <v>0</v>
      </c>
      <c r="Z18" s="65">
        <f t="shared" si="15"/>
        <v>0</v>
      </c>
      <c r="AA18" s="65">
        <f t="shared" si="15"/>
        <v>0</v>
      </c>
      <c r="AB18" s="67">
        <f>IFERROR(IF($C$4=3,INDEX(DALLY!$N$14:$KZ$44,$M18,MATCH($AI$7,DALLY!$N$10:$KZ$10,0)+AB$3),0),0)</f>
        <v>0</v>
      </c>
      <c r="AC18" s="68">
        <f t="shared" si="16"/>
        <v>0</v>
      </c>
      <c r="AD18" s="69">
        <f>IFERROR(IF($C$4=3,(IF($F$3=2,(IF(H18=2,INDEX(DALLY!$N$14:$KZ$44,$M18,MATCH($AI$7,DALLY!$N$10:$KZ$10,0)+AD$3),0)),0)),0),0)</f>
        <v>0</v>
      </c>
      <c r="AE18" s="70">
        <f>IFERROR(IF($C$4=3,(IF($F$3=2,INDEX(DALLY!$N$14:$KZ$44,$M18,MATCH($AI$7,DALLY!$N$10:$KZ$10,0)+AE$3),0)),0),0)</f>
        <v>0</v>
      </c>
      <c r="AF18" s="70">
        <f>IFERROR(IF($C$4=3,(IF($F$3=2,INDEX(DALLY!$N$14:$KZ$44,$M18,MATCH($AI$7,DALLY!$N$10:$KZ$10,0)+AF$3),0)),0),0)</f>
        <v>0</v>
      </c>
      <c r="AG18" s="70">
        <f>IFERROR(IF($C$4=3,(IF($F$3=2,INDEX(DALLY!$N$14:$KZ$44,$M18,MATCH($AI$7,DALLY!$N$10:$KZ$10,0)+AG$3),0)),0),0)</f>
        <v>0</v>
      </c>
      <c r="AH18" s="71">
        <f t="shared" si="17"/>
        <v>0</v>
      </c>
      <c r="AI18" s="71">
        <f t="shared" si="18"/>
        <v>0</v>
      </c>
      <c r="AJ18" s="71">
        <f t="shared" si="19"/>
        <v>0</v>
      </c>
      <c r="AK18" s="72">
        <f t="shared" si="20"/>
        <v>0</v>
      </c>
    </row>
    <row r="19" spans="6:37" ht="20.100000000000001" customHeight="1" x14ac:dyDescent="0.25">
      <c r="F19" s="3">
        <f>IFERROR(IF($C$4=3,INDEX(DALLY!$N$14:$KZ$44,$M19,MATCH($AI$7,DALLY!$N$10:$KZ$10,0)+U$3),0),0)</f>
        <v>0</v>
      </c>
      <c r="G19" s="3">
        <f>IFERROR(IF($C$4=3,INDEX(DALLY!$N$14:$KZ$44,$M19,MATCH($AI$7,DALLY!$N$10:$KZ$10,0)+V$3),0),0)</f>
        <v>0</v>
      </c>
      <c r="H19" s="3">
        <f t="shared" si="3"/>
        <v>0</v>
      </c>
      <c r="I19" s="3">
        <f t="shared" si="4"/>
        <v>0</v>
      </c>
      <c r="J19" s="3" t="str">
        <f>IF($C$4=3,(IF(L19=0,(IF(N19&gt;=1,INDEX(DALLY!$M$14:$KZ$44,M19,MATCH($AI$7,DALLY!$L$10:$KZ$10,0)+3),"")),"")),"")</f>
        <v/>
      </c>
      <c r="K19" s="53">
        <f>IF($C$4=3,INDEX(AWAKASH!$F$10:$FS$40,$M19,MATCH($AI$7,AWAKASH!$F$6:$FS$6,0)+1),0)</f>
        <v>0</v>
      </c>
      <c r="L19" s="3">
        <f t="shared" si="5"/>
        <v>0</v>
      </c>
      <c r="M19" s="3">
        <v>8</v>
      </c>
      <c r="N19" s="3">
        <f t="shared" si="6"/>
        <v>0</v>
      </c>
      <c r="O19" s="61">
        <f t="shared" si="7"/>
        <v>0</v>
      </c>
      <c r="P19" s="62" t="str">
        <f t="shared" si="8"/>
        <v/>
      </c>
      <c r="Q19" s="962" t="str">
        <f t="shared" si="9"/>
        <v/>
      </c>
      <c r="R19" s="963"/>
      <c r="S19" s="63">
        <f>IFERROR(IF($C$4=3,INDEX(DALLY!$N$14:$KZ$44,$M19,MATCH($AI$7,DALLY!$N$10:$KZ$10,0)+S$3),0),0)</f>
        <v>0</v>
      </c>
      <c r="T19" s="64">
        <f>IFERROR(IF($C$4=3,INDEX(DALLY!$N$14:$KZ$44,$M19,MATCH($AI$7,DALLY!$N$10:$KZ$10,0)+T$3),0),0)</f>
        <v>0</v>
      </c>
      <c r="U19" s="65">
        <f t="shared" si="10"/>
        <v>0</v>
      </c>
      <c r="V19" s="65">
        <f t="shared" si="11"/>
        <v>0</v>
      </c>
      <c r="W19" s="66">
        <f t="shared" si="12"/>
        <v>0</v>
      </c>
      <c r="X19" s="66">
        <f t="shared" si="13"/>
        <v>0</v>
      </c>
      <c r="Y19" s="66">
        <f t="shared" si="14"/>
        <v>0</v>
      </c>
      <c r="Z19" s="65">
        <f t="shared" si="15"/>
        <v>0</v>
      </c>
      <c r="AA19" s="65">
        <f t="shared" si="15"/>
        <v>0</v>
      </c>
      <c r="AB19" s="67">
        <f>IFERROR(IF($C$4=3,INDEX(DALLY!$N$14:$KZ$44,$M19,MATCH($AI$7,DALLY!$N$10:$KZ$10,0)+AB$3),0),0)</f>
        <v>0</v>
      </c>
      <c r="AC19" s="68">
        <f t="shared" si="16"/>
        <v>0</v>
      </c>
      <c r="AD19" s="69">
        <f>IFERROR(IF($C$4=3,(IF($F$3=2,(IF(H19=2,INDEX(DALLY!$N$14:$KZ$44,$M19,MATCH($AI$7,DALLY!$N$10:$KZ$10,0)+AD$3),0)),0)),0),0)</f>
        <v>0</v>
      </c>
      <c r="AE19" s="70">
        <f>IFERROR(IF($C$4=3,(IF($F$3=2,INDEX(DALLY!$N$14:$KZ$44,$M19,MATCH($AI$7,DALLY!$N$10:$KZ$10,0)+AE$3),0)),0),0)</f>
        <v>0</v>
      </c>
      <c r="AF19" s="70">
        <f>IFERROR(IF($C$4=3,(IF($F$3=2,INDEX(DALLY!$N$14:$KZ$44,$M19,MATCH($AI$7,DALLY!$N$10:$KZ$10,0)+AF$3),0)),0),0)</f>
        <v>0</v>
      </c>
      <c r="AG19" s="70">
        <f>IFERROR(IF($C$4=3,(IF($F$3=2,INDEX(DALLY!$N$14:$KZ$44,$M19,MATCH($AI$7,DALLY!$N$10:$KZ$10,0)+AG$3),0)),0),0)</f>
        <v>0</v>
      </c>
      <c r="AH19" s="71">
        <f t="shared" si="17"/>
        <v>0</v>
      </c>
      <c r="AI19" s="71">
        <f t="shared" si="18"/>
        <v>0</v>
      </c>
      <c r="AJ19" s="71">
        <f t="shared" si="19"/>
        <v>0</v>
      </c>
      <c r="AK19" s="72">
        <f t="shared" si="20"/>
        <v>0</v>
      </c>
    </row>
    <row r="20" spans="6:37" ht="20.100000000000001" customHeight="1" x14ac:dyDescent="0.25">
      <c r="F20" s="3">
        <f>IFERROR(IF($C$4=3,INDEX(DALLY!$N$14:$KZ$44,$M20,MATCH($AI$7,DALLY!$N$10:$KZ$10,0)+U$3),0),0)</f>
        <v>0</v>
      </c>
      <c r="G20" s="3">
        <f>IFERROR(IF($C$4=3,INDEX(DALLY!$N$14:$KZ$44,$M20,MATCH($AI$7,DALLY!$N$10:$KZ$10,0)+V$3),0),0)</f>
        <v>0</v>
      </c>
      <c r="H20" s="3">
        <f t="shared" si="3"/>
        <v>0</v>
      </c>
      <c r="I20" s="3">
        <f t="shared" si="4"/>
        <v>0</v>
      </c>
      <c r="J20" s="3" t="str">
        <f>IF($C$4=3,(IF(L20=0,(IF(N20&gt;=1,INDEX(DALLY!$M$14:$KZ$44,M20,MATCH($AI$7,DALLY!$L$10:$KZ$10,0)+3),"")),"")),"")</f>
        <v/>
      </c>
      <c r="K20" s="53">
        <f>IF($C$4=3,INDEX(AWAKASH!$F$10:$FS$40,$M20,MATCH($AI$7,AWAKASH!$F$6:$FS$6,0)+1),0)</f>
        <v>0</v>
      </c>
      <c r="L20" s="3">
        <f t="shared" si="5"/>
        <v>0</v>
      </c>
      <c r="M20" s="3">
        <v>9</v>
      </c>
      <c r="N20" s="3">
        <f t="shared" si="6"/>
        <v>0</v>
      </c>
      <c r="O20" s="61">
        <f t="shared" si="7"/>
        <v>0</v>
      </c>
      <c r="P20" s="62" t="str">
        <f t="shared" si="8"/>
        <v/>
      </c>
      <c r="Q20" s="962" t="str">
        <f t="shared" si="9"/>
        <v/>
      </c>
      <c r="R20" s="963"/>
      <c r="S20" s="63">
        <f>IFERROR(IF($C$4=3,INDEX(DALLY!$N$14:$KZ$44,$M20,MATCH($AI$7,DALLY!$N$10:$KZ$10,0)+S$3),0),0)</f>
        <v>0</v>
      </c>
      <c r="T20" s="64">
        <f>IFERROR(IF($C$4=3,INDEX(DALLY!$N$14:$KZ$44,$M20,MATCH($AI$7,DALLY!$N$10:$KZ$10,0)+T$3),0),0)</f>
        <v>0</v>
      </c>
      <c r="U20" s="65">
        <f t="shared" si="10"/>
        <v>0</v>
      </c>
      <c r="V20" s="65">
        <f t="shared" si="11"/>
        <v>0</v>
      </c>
      <c r="W20" s="66">
        <f t="shared" si="12"/>
        <v>0</v>
      </c>
      <c r="X20" s="66">
        <f t="shared" si="13"/>
        <v>0</v>
      </c>
      <c r="Y20" s="66">
        <f t="shared" si="14"/>
        <v>0</v>
      </c>
      <c r="Z20" s="65">
        <f t="shared" si="15"/>
        <v>0</v>
      </c>
      <c r="AA20" s="65">
        <f t="shared" si="15"/>
        <v>0</v>
      </c>
      <c r="AB20" s="67">
        <f>IFERROR(IF($C$4=3,INDEX(DALLY!$N$14:$KZ$44,$M20,MATCH($AI$7,DALLY!$N$10:$KZ$10,0)+AB$3),0),0)</f>
        <v>0</v>
      </c>
      <c r="AC20" s="68">
        <f t="shared" si="16"/>
        <v>0</v>
      </c>
      <c r="AD20" s="69">
        <f>IFERROR(IF($C$4=3,(IF($F$3=2,(IF(H20=2,INDEX(DALLY!$N$14:$KZ$44,$M20,MATCH($AI$7,DALLY!$N$10:$KZ$10,0)+AD$3),0)),0)),0),0)</f>
        <v>0</v>
      </c>
      <c r="AE20" s="70">
        <f>IFERROR(IF($C$4=3,(IF($F$3=2,INDEX(DALLY!$N$14:$KZ$44,$M20,MATCH($AI$7,DALLY!$N$10:$KZ$10,0)+AE$3),0)),0),0)</f>
        <v>0</v>
      </c>
      <c r="AF20" s="70">
        <f>IFERROR(IF($C$4=3,(IF($F$3=2,INDEX(DALLY!$N$14:$KZ$44,$M20,MATCH($AI$7,DALLY!$N$10:$KZ$10,0)+AF$3),0)),0),0)</f>
        <v>0</v>
      </c>
      <c r="AG20" s="70">
        <f>IFERROR(IF($C$4=3,(IF($F$3=2,INDEX(DALLY!$N$14:$KZ$44,$M20,MATCH($AI$7,DALLY!$N$10:$KZ$10,0)+AG$3),0)),0),0)</f>
        <v>0</v>
      </c>
      <c r="AH20" s="71">
        <f t="shared" si="17"/>
        <v>0</v>
      </c>
      <c r="AI20" s="71">
        <f t="shared" si="18"/>
        <v>0</v>
      </c>
      <c r="AJ20" s="71">
        <f t="shared" si="19"/>
        <v>0</v>
      </c>
      <c r="AK20" s="72">
        <f t="shared" si="20"/>
        <v>0</v>
      </c>
    </row>
    <row r="21" spans="6:37" ht="20.100000000000001" customHeight="1" x14ac:dyDescent="0.25">
      <c r="F21" s="3">
        <f>IFERROR(IF($C$4=3,INDEX(DALLY!$N$14:$KZ$44,$M21,MATCH($AI$7,DALLY!$N$10:$KZ$10,0)+U$3),0),0)</f>
        <v>0</v>
      </c>
      <c r="G21" s="3">
        <f>IFERROR(IF($C$4=3,INDEX(DALLY!$N$14:$KZ$44,$M21,MATCH($AI$7,DALLY!$N$10:$KZ$10,0)+V$3),0),0)</f>
        <v>0</v>
      </c>
      <c r="H21" s="3">
        <f t="shared" si="3"/>
        <v>0</v>
      </c>
      <c r="I21" s="3">
        <f t="shared" si="4"/>
        <v>0</v>
      </c>
      <c r="J21" s="3" t="str">
        <f>IF($C$4=3,(IF(L21=0,(IF(N21&gt;=1,INDEX(DALLY!$M$14:$KZ$44,M21,MATCH($AI$7,DALLY!$L$10:$KZ$10,0)+3),"")),"")),"")</f>
        <v/>
      </c>
      <c r="K21" s="53">
        <f>IF($C$4=3,INDEX(AWAKASH!$F$10:$FS$40,$M21,MATCH($AI$7,AWAKASH!$F$6:$FS$6,0)+1),0)</f>
        <v>0</v>
      </c>
      <c r="L21" s="3">
        <f t="shared" si="5"/>
        <v>0</v>
      </c>
      <c r="M21" s="3">
        <v>10</v>
      </c>
      <c r="N21" s="3">
        <f t="shared" si="6"/>
        <v>0</v>
      </c>
      <c r="O21" s="61">
        <f t="shared" si="7"/>
        <v>0</v>
      </c>
      <c r="P21" s="62" t="str">
        <f t="shared" si="8"/>
        <v/>
      </c>
      <c r="Q21" s="962" t="str">
        <f t="shared" si="9"/>
        <v/>
      </c>
      <c r="R21" s="963"/>
      <c r="S21" s="63">
        <f>IFERROR(IF($C$4=3,INDEX(DALLY!$N$14:$KZ$44,$M21,MATCH($AI$7,DALLY!$N$10:$KZ$10,0)+S$3),0),0)</f>
        <v>0</v>
      </c>
      <c r="T21" s="64">
        <f>IFERROR(IF($C$4=3,INDEX(DALLY!$N$14:$KZ$44,$M21,MATCH($AI$7,DALLY!$N$10:$KZ$10,0)+T$3),0),0)</f>
        <v>0</v>
      </c>
      <c r="U21" s="65">
        <f t="shared" si="10"/>
        <v>0</v>
      </c>
      <c r="V21" s="65">
        <f t="shared" si="11"/>
        <v>0</v>
      </c>
      <c r="W21" s="66">
        <f t="shared" si="12"/>
        <v>0</v>
      </c>
      <c r="X21" s="66">
        <f t="shared" si="13"/>
        <v>0</v>
      </c>
      <c r="Y21" s="66">
        <f t="shared" si="14"/>
        <v>0</v>
      </c>
      <c r="Z21" s="65">
        <f t="shared" si="15"/>
        <v>0</v>
      </c>
      <c r="AA21" s="65">
        <f t="shared" si="15"/>
        <v>0</v>
      </c>
      <c r="AB21" s="67">
        <f>IFERROR(IF($C$4=3,INDEX(DALLY!$N$14:$KZ$44,$M21,MATCH($AI$7,DALLY!$N$10:$KZ$10,0)+AB$3),0),0)</f>
        <v>0</v>
      </c>
      <c r="AC21" s="68">
        <f t="shared" si="16"/>
        <v>0</v>
      </c>
      <c r="AD21" s="69">
        <f>IFERROR(IF($C$4=3,(IF($F$3=2,(IF(H21=2,INDEX(DALLY!$N$14:$KZ$44,$M21,MATCH($AI$7,DALLY!$N$10:$KZ$10,0)+AD$3),0)),0)),0),0)</f>
        <v>0</v>
      </c>
      <c r="AE21" s="70">
        <f>IFERROR(IF($C$4=3,(IF($F$3=2,INDEX(DALLY!$N$14:$KZ$44,$M21,MATCH($AI$7,DALLY!$N$10:$KZ$10,0)+AE$3),0)),0),0)</f>
        <v>0</v>
      </c>
      <c r="AF21" s="70">
        <f>IFERROR(IF($C$4=3,(IF($F$3=2,INDEX(DALLY!$N$14:$KZ$44,$M21,MATCH($AI$7,DALLY!$N$10:$KZ$10,0)+AF$3),0)),0),0)</f>
        <v>0</v>
      </c>
      <c r="AG21" s="70">
        <f>IFERROR(IF($C$4=3,(IF($F$3=2,INDEX(DALLY!$N$14:$KZ$44,$M21,MATCH($AI$7,DALLY!$N$10:$KZ$10,0)+AG$3),0)),0),0)</f>
        <v>0</v>
      </c>
      <c r="AH21" s="71">
        <f t="shared" si="17"/>
        <v>0</v>
      </c>
      <c r="AI21" s="71">
        <f t="shared" si="18"/>
        <v>0</v>
      </c>
      <c r="AJ21" s="71">
        <f t="shared" si="19"/>
        <v>0</v>
      </c>
      <c r="AK21" s="72">
        <f t="shared" si="20"/>
        <v>0</v>
      </c>
    </row>
    <row r="22" spans="6:37" ht="20.100000000000001" customHeight="1" x14ac:dyDescent="0.25">
      <c r="F22" s="3">
        <f>IFERROR(IF($C$4=3,INDEX(DALLY!$N$14:$KZ$44,$M22,MATCH($AI$7,DALLY!$N$10:$KZ$10,0)+U$3),0),0)</f>
        <v>0</v>
      </c>
      <c r="G22" s="3">
        <f>IFERROR(IF($C$4=3,INDEX(DALLY!$N$14:$KZ$44,$M22,MATCH($AI$7,DALLY!$N$10:$KZ$10,0)+V$3),0),0)</f>
        <v>0</v>
      </c>
      <c r="H22" s="3">
        <f t="shared" si="3"/>
        <v>0</v>
      </c>
      <c r="I22" s="3">
        <f t="shared" si="4"/>
        <v>0</v>
      </c>
      <c r="J22" s="3" t="str">
        <f>IF($C$4=3,(IF(L22=0,(IF(N22&gt;=1,INDEX(DALLY!$M$14:$KZ$44,M22,MATCH($AI$7,DALLY!$L$10:$KZ$10,0)+3),"")),"")),"")</f>
        <v/>
      </c>
      <c r="K22" s="53">
        <f>IF($C$4=3,INDEX(AWAKASH!$F$10:$FS$40,$M22,MATCH($AI$7,AWAKASH!$F$6:$FS$6,0)+1),0)</f>
        <v>0</v>
      </c>
      <c r="L22" s="3">
        <f t="shared" si="5"/>
        <v>0</v>
      </c>
      <c r="M22" s="3">
        <v>11</v>
      </c>
      <c r="N22" s="3">
        <f t="shared" si="6"/>
        <v>0</v>
      </c>
      <c r="O22" s="61">
        <f t="shared" si="7"/>
        <v>0</v>
      </c>
      <c r="P22" s="62" t="str">
        <f t="shared" si="8"/>
        <v/>
      </c>
      <c r="Q22" s="962" t="str">
        <f t="shared" si="9"/>
        <v/>
      </c>
      <c r="R22" s="963"/>
      <c r="S22" s="63">
        <f>IFERROR(IF($C$4=3,INDEX(DALLY!$N$14:$KZ$44,$M22,MATCH($AI$7,DALLY!$N$10:$KZ$10,0)+S$3),0),0)</f>
        <v>0</v>
      </c>
      <c r="T22" s="64">
        <f>IFERROR(IF($C$4=3,INDEX(DALLY!$N$14:$KZ$44,$M22,MATCH($AI$7,DALLY!$N$10:$KZ$10,0)+T$3),0),0)</f>
        <v>0</v>
      </c>
      <c r="U22" s="65">
        <f t="shared" si="10"/>
        <v>0</v>
      </c>
      <c r="V22" s="65">
        <f t="shared" si="11"/>
        <v>0</v>
      </c>
      <c r="W22" s="66">
        <f t="shared" si="12"/>
        <v>0</v>
      </c>
      <c r="X22" s="66">
        <f t="shared" si="13"/>
        <v>0</v>
      </c>
      <c r="Y22" s="66">
        <f t="shared" si="14"/>
        <v>0</v>
      </c>
      <c r="Z22" s="65">
        <f t="shared" si="15"/>
        <v>0</v>
      </c>
      <c r="AA22" s="65">
        <f t="shared" si="15"/>
        <v>0</v>
      </c>
      <c r="AB22" s="67">
        <f>IFERROR(IF($C$4=3,INDEX(DALLY!$N$14:$KZ$44,$M22,MATCH($AI$7,DALLY!$N$10:$KZ$10,0)+AB$3),0),0)</f>
        <v>0</v>
      </c>
      <c r="AC22" s="68">
        <f t="shared" si="16"/>
        <v>0</v>
      </c>
      <c r="AD22" s="69">
        <f>IFERROR(IF($C$4=3,(IF($F$3=2,(IF(H22=2,INDEX(DALLY!$N$14:$KZ$44,$M22,MATCH($AI$7,DALLY!$N$10:$KZ$10,0)+AD$3),0)),0)),0),0)</f>
        <v>0</v>
      </c>
      <c r="AE22" s="70">
        <f>IFERROR(IF($C$4=3,(IF($F$3=2,INDEX(DALLY!$N$14:$KZ$44,$M22,MATCH($AI$7,DALLY!$N$10:$KZ$10,0)+AE$3),0)),0),0)</f>
        <v>0</v>
      </c>
      <c r="AF22" s="70">
        <f>IFERROR(IF($C$4=3,(IF($F$3=2,INDEX(DALLY!$N$14:$KZ$44,$M22,MATCH($AI$7,DALLY!$N$10:$KZ$10,0)+AF$3),0)),0),0)</f>
        <v>0</v>
      </c>
      <c r="AG22" s="70">
        <f>IFERROR(IF($C$4=3,(IF($F$3=2,INDEX(DALLY!$N$14:$KZ$44,$M22,MATCH($AI$7,DALLY!$N$10:$KZ$10,0)+AG$3),0)),0),0)</f>
        <v>0</v>
      </c>
      <c r="AH22" s="71">
        <f t="shared" si="17"/>
        <v>0</v>
      </c>
      <c r="AI22" s="71">
        <f t="shared" si="18"/>
        <v>0</v>
      </c>
      <c r="AJ22" s="71">
        <f t="shared" si="19"/>
        <v>0</v>
      </c>
      <c r="AK22" s="72">
        <f t="shared" si="20"/>
        <v>0</v>
      </c>
    </row>
    <row r="23" spans="6:37" ht="20.100000000000001" customHeight="1" x14ac:dyDescent="0.25">
      <c r="F23" s="3">
        <f>IFERROR(IF($C$4=3,INDEX(DALLY!$N$14:$KZ$44,$M23,MATCH($AI$7,DALLY!$N$10:$KZ$10,0)+U$3),0),0)</f>
        <v>0</v>
      </c>
      <c r="G23" s="3">
        <f>IFERROR(IF($C$4=3,INDEX(DALLY!$N$14:$KZ$44,$M23,MATCH($AI$7,DALLY!$N$10:$KZ$10,0)+V$3),0),0)</f>
        <v>0</v>
      </c>
      <c r="H23" s="3">
        <f t="shared" si="3"/>
        <v>0</v>
      </c>
      <c r="I23" s="3">
        <f t="shared" si="4"/>
        <v>0</v>
      </c>
      <c r="J23" s="3" t="str">
        <f>IF($C$4=3,(IF(L23=0,(IF(N23&gt;=1,INDEX(DALLY!$M$14:$KZ$44,M23,MATCH($AI$7,DALLY!$L$10:$KZ$10,0)+3),"")),"")),"")</f>
        <v/>
      </c>
      <c r="K23" s="53">
        <f>IF($C$4=3,INDEX(AWAKASH!$F$10:$FS$40,$M23,MATCH($AI$7,AWAKASH!$F$6:$FS$6,0)+1),0)</f>
        <v>0</v>
      </c>
      <c r="L23" s="3">
        <f t="shared" si="5"/>
        <v>0</v>
      </c>
      <c r="M23" s="3">
        <v>12</v>
      </c>
      <c r="N23" s="3">
        <f t="shared" si="6"/>
        <v>0</v>
      </c>
      <c r="O23" s="61">
        <f t="shared" si="7"/>
        <v>0</v>
      </c>
      <c r="P23" s="62" t="str">
        <f t="shared" si="8"/>
        <v/>
      </c>
      <c r="Q23" s="962" t="str">
        <f t="shared" si="9"/>
        <v/>
      </c>
      <c r="R23" s="963"/>
      <c r="S23" s="63">
        <f>IFERROR(IF($C$4=3,INDEX(DALLY!$N$14:$KZ$44,$M23,MATCH($AI$7,DALLY!$N$10:$KZ$10,0)+S$3),0),0)</f>
        <v>0</v>
      </c>
      <c r="T23" s="64">
        <f>IFERROR(IF($C$4=3,INDEX(DALLY!$N$14:$KZ$44,$M23,MATCH($AI$7,DALLY!$N$10:$KZ$10,0)+T$3),0),0)</f>
        <v>0</v>
      </c>
      <c r="U23" s="65">
        <f t="shared" si="10"/>
        <v>0</v>
      </c>
      <c r="V23" s="65">
        <f t="shared" si="11"/>
        <v>0</v>
      </c>
      <c r="W23" s="66">
        <f t="shared" si="12"/>
        <v>0</v>
      </c>
      <c r="X23" s="66">
        <f t="shared" si="13"/>
        <v>0</v>
      </c>
      <c r="Y23" s="66">
        <f t="shared" si="14"/>
        <v>0</v>
      </c>
      <c r="Z23" s="65">
        <f t="shared" si="15"/>
        <v>0</v>
      </c>
      <c r="AA23" s="65">
        <f t="shared" si="15"/>
        <v>0</v>
      </c>
      <c r="AB23" s="67">
        <f>IFERROR(IF($C$4=3,INDEX(DALLY!$N$14:$KZ$44,$M23,MATCH($AI$7,DALLY!$N$10:$KZ$10,0)+AB$3),0),0)</f>
        <v>0</v>
      </c>
      <c r="AC23" s="68">
        <f t="shared" si="16"/>
        <v>0</v>
      </c>
      <c r="AD23" s="69">
        <f>IFERROR(IF($C$4=3,(IF($F$3=2,(IF(H23=2,INDEX(DALLY!$N$14:$KZ$44,$M23,MATCH($AI$7,DALLY!$N$10:$KZ$10,0)+AD$3),0)),0)),0),0)</f>
        <v>0</v>
      </c>
      <c r="AE23" s="70">
        <f>IFERROR(IF($C$4=3,(IF($F$3=2,INDEX(DALLY!$N$14:$KZ$44,$M23,MATCH($AI$7,DALLY!$N$10:$KZ$10,0)+AE$3),0)),0),0)</f>
        <v>0</v>
      </c>
      <c r="AF23" s="70">
        <f>IFERROR(IF($C$4=3,(IF($F$3=2,INDEX(DALLY!$N$14:$KZ$44,$M23,MATCH($AI$7,DALLY!$N$10:$KZ$10,0)+AF$3),0)),0),0)</f>
        <v>0</v>
      </c>
      <c r="AG23" s="70">
        <f>IFERROR(IF($C$4=3,(IF($F$3=2,INDEX(DALLY!$N$14:$KZ$44,$M23,MATCH($AI$7,DALLY!$N$10:$KZ$10,0)+AG$3),0)),0),0)</f>
        <v>0</v>
      </c>
      <c r="AH23" s="71">
        <f t="shared" si="17"/>
        <v>0</v>
      </c>
      <c r="AI23" s="71">
        <f t="shared" si="18"/>
        <v>0</v>
      </c>
      <c r="AJ23" s="71">
        <f t="shared" si="19"/>
        <v>0</v>
      </c>
      <c r="AK23" s="72">
        <f t="shared" si="20"/>
        <v>0</v>
      </c>
    </row>
    <row r="24" spans="6:37" ht="20.100000000000001" customHeight="1" x14ac:dyDescent="0.25">
      <c r="F24" s="3">
        <f>IFERROR(IF($C$4=3,INDEX(DALLY!$N$14:$KZ$44,$M24,MATCH($AI$7,DALLY!$N$10:$KZ$10,0)+U$3),0),0)</f>
        <v>0</v>
      </c>
      <c r="G24" s="3">
        <f>IFERROR(IF($C$4=3,INDEX(DALLY!$N$14:$KZ$44,$M24,MATCH($AI$7,DALLY!$N$10:$KZ$10,0)+V$3),0),0)</f>
        <v>0</v>
      </c>
      <c r="H24" s="3">
        <f t="shared" si="3"/>
        <v>0</v>
      </c>
      <c r="I24" s="3">
        <f t="shared" si="4"/>
        <v>0</v>
      </c>
      <c r="J24" s="3" t="str">
        <f>IF($C$4=3,(IF(L24=0,(IF(N24&gt;=1,INDEX(DALLY!$M$14:$KZ$44,M24,MATCH($AI$7,DALLY!$L$10:$KZ$10,0)+3),"")),"")),"")</f>
        <v/>
      </c>
      <c r="K24" s="53">
        <f>IF($C$4=3,INDEX(AWAKASH!$F$10:$FS$40,$M24,MATCH($AI$7,AWAKASH!$F$6:$FS$6,0)+1),0)</f>
        <v>0</v>
      </c>
      <c r="L24" s="3">
        <f t="shared" si="5"/>
        <v>0</v>
      </c>
      <c r="M24" s="3">
        <v>13</v>
      </c>
      <c r="N24" s="3">
        <f t="shared" si="6"/>
        <v>0</v>
      </c>
      <c r="O24" s="61">
        <f t="shared" si="7"/>
        <v>0</v>
      </c>
      <c r="P24" s="62" t="str">
        <f t="shared" si="8"/>
        <v/>
      </c>
      <c r="Q24" s="962" t="str">
        <f t="shared" si="9"/>
        <v/>
      </c>
      <c r="R24" s="963"/>
      <c r="S24" s="63">
        <f>IFERROR(IF($C$4=3,INDEX(DALLY!$N$14:$KZ$44,$M24,MATCH($AI$7,DALLY!$N$10:$KZ$10,0)+S$3),0),0)</f>
        <v>0</v>
      </c>
      <c r="T24" s="64">
        <f>IFERROR(IF($C$4=3,INDEX(DALLY!$N$14:$KZ$44,$M24,MATCH($AI$7,DALLY!$N$10:$KZ$10,0)+T$3),0),0)</f>
        <v>0</v>
      </c>
      <c r="U24" s="65">
        <f t="shared" si="10"/>
        <v>0</v>
      </c>
      <c r="V24" s="65">
        <f t="shared" si="11"/>
        <v>0</v>
      </c>
      <c r="W24" s="66">
        <f t="shared" si="12"/>
        <v>0</v>
      </c>
      <c r="X24" s="66">
        <f t="shared" si="13"/>
        <v>0</v>
      </c>
      <c r="Y24" s="66">
        <f t="shared" si="14"/>
        <v>0</v>
      </c>
      <c r="Z24" s="65">
        <f t="shared" si="15"/>
        <v>0</v>
      </c>
      <c r="AA24" s="65">
        <f t="shared" si="15"/>
        <v>0</v>
      </c>
      <c r="AB24" s="67">
        <f>IFERROR(IF($C$4=3,INDEX(DALLY!$N$14:$KZ$44,$M24,MATCH($AI$7,DALLY!$N$10:$KZ$10,0)+AB$3),0),0)</f>
        <v>0</v>
      </c>
      <c r="AC24" s="68">
        <f t="shared" si="16"/>
        <v>0</v>
      </c>
      <c r="AD24" s="69">
        <f>IFERROR(IF($C$4=3,(IF($F$3=2,(IF(H24=2,INDEX(DALLY!$N$14:$KZ$44,$M24,MATCH($AI$7,DALLY!$N$10:$KZ$10,0)+AD$3),0)),0)),0),0)</f>
        <v>0</v>
      </c>
      <c r="AE24" s="70">
        <f>IFERROR(IF($C$4=3,(IF($F$3=2,INDEX(DALLY!$N$14:$KZ$44,$M24,MATCH($AI$7,DALLY!$N$10:$KZ$10,0)+AE$3),0)),0),0)</f>
        <v>0</v>
      </c>
      <c r="AF24" s="70">
        <f>IFERROR(IF($C$4=3,(IF($F$3=2,INDEX(DALLY!$N$14:$KZ$44,$M24,MATCH($AI$7,DALLY!$N$10:$KZ$10,0)+AF$3),0)),0),0)</f>
        <v>0</v>
      </c>
      <c r="AG24" s="70">
        <f>IFERROR(IF($C$4=3,(IF($F$3=2,INDEX(DALLY!$N$14:$KZ$44,$M24,MATCH($AI$7,DALLY!$N$10:$KZ$10,0)+AG$3),0)),0),0)</f>
        <v>0</v>
      </c>
      <c r="AH24" s="71">
        <f t="shared" si="17"/>
        <v>0</v>
      </c>
      <c r="AI24" s="71">
        <f t="shared" si="18"/>
        <v>0</v>
      </c>
      <c r="AJ24" s="71">
        <f t="shared" si="19"/>
        <v>0</v>
      </c>
      <c r="AK24" s="72">
        <f t="shared" si="20"/>
        <v>0</v>
      </c>
    </row>
    <row r="25" spans="6:37" ht="20.100000000000001" customHeight="1" x14ac:dyDescent="0.25">
      <c r="F25" s="3">
        <f>IFERROR(IF($C$4=3,INDEX(DALLY!$N$14:$KZ$44,$M25,MATCH($AI$7,DALLY!$N$10:$KZ$10,0)+U$3),0),0)</f>
        <v>0</v>
      </c>
      <c r="G25" s="3">
        <f>IFERROR(IF($C$4=3,INDEX(DALLY!$N$14:$KZ$44,$M25,MATCH($AI$7,DALLY!$N$10:$KZ$10,0)+V$3),0),0)</f>
        <v>0</v>
      </c>
      <c r="H25" s="3">
        <f t="shared" si="3"/>
        <v>0</v>
      </c>
      <c r="I25" s="3">
        <f t="shared" si="4"/>
        <v>0</v>
      </c>
      <c r="J25" s="3" t="str">
        <f>IF($C$4=3,(IF(L25=0,(IF(N25&gt;=1,INDEX(DALLY!$M$14:$KZ$44,M25,MATCH($AI$7,DALLY!$L$10:$KZ$10,0)+3),"")),"")),"")</f>
        <v/>
      </c>
      <c r="K25" s="53">
        <f>IF($C$4=3,INDEX(AWAKASH!$F$10:$FS$40,$M25,MATCH($AI$7,AWAKASH!$F$6:$FS$6,0)+1),0)</f>
        <v>0</v>
      </c>
      <c r="L25" s="3">
        <f t="shared" si="5"/>
        <v>0</v>
      </c>
      <c r="M25" s="3">
        <v>14</v>
      </c>
      <c r="N25" s="3">
        <f t="shared" si="6"/>
        <v>0</v>
      </c>
      <c r="O25" s="61">
        <f t="shared" si="7"/>
        <v>0</v>
      </c>
      <c r="P25" s="62" t="str">
        <f t="shared" si="8"/>
        <v/>
      </c>
      <c r="Q25" s="962" t="str">
        <f t="shared" si="9"/>
        <v/>
      </c>
      <c r="R25" s="963"/>
      <c r="S25" s="63">
        <f>IFERROR(IF($C$4=3,INDEX(DALLY!$N$14:$KZ$44,$M25,MATCH($AI$7,DALLY!$N$10:$KZ$10,0)+S$3),0),0)</f>
        <v>0</v>
      </c>
      <c r="T25" s="64">
        <f>IFERROR(IF($C$4=3,INDEX(DALLY!$N$14:$KZ$44,$M25,MATCH($AI$7,DALLY!$N$10:$KZ$10,0)+T$3),0),0)</f>
        <v>0</v>
      </c>
      <c r="U25" s="65">
        <f t="shared" si="10"/>
        <v>0</v>
      </c>
      <c r="V25" s="65">
        <f t="shared" si="11"/>
        <v>0</v>
      </c>
      <c r="W25" s="66">
        <f t="shared" si="12"/>
        <v>0</v>
      </c>
      <c r="X25" s="66">
        <f t="shared" si="13"/>
        <v>0</v>
      </c>
      <c r="Y25" s="66">
        <f t="shared" si="14"/>
        <v>0</v>
      </c>
      <c r="Z25" s="65">
        <f t="shared" si="15"/>
        <v>0</v>
      </c>
      <c r="AA25" s="65">
        <f t="shared" si="15"/>
        <v>0</v>
      </c>
      <c r="AB25" s="67">
        <f>IFERROR(IF($C$4=3,INDEX(DALLY!$N$14:$KZ$44,$M25,MATCH($AI$7,DALLY!$N$10:$KZ$10,0)+AB$3),0),0)</f>
        <v>0</v>
      </c>
      <c r="AC25" s="68">
        <f t="shared" si="16"/>
        <v>0</v>
      </c>
      <c r="AD25" s="69">
        <f>IFERROR(IF($C$4=3,(IF($F$3=2,(IF(H25=2,INDEX(DALLY!$N$14:$KZ$44,$M25,MATCH($AI$7,DALLY!$N$10:$KZ$10,0)+AD$3),0)),0)),0),0)</f>
        <v>0</v>
      </c>
      <c r="AE25" s="70">
        <f>IFERROR(IF($C$4=3,(IF($F$3=2,INDEX(DALLY!$N$14:$KZ$44,$M25,MATCH($AI$7,DALLY!$N$10:$KZ$10,0)+AE$3),0)),0),0)</f>
        <v>0</v>
      </c>
      <c r="AF25" s="70">
        <f>IFERROR(IF($C$4=3,(IF($F$3=2,INDEX(DALLY!$N$14:$KZ$44,$M25,MATCH($AI$7,DALLY!$N$10:$KZ$10,0)+AF$3),0)),0),0)</f>
        <v>0</v>
      </c>
      <c r="AG25" s="70">
        <f>IFERROR(IF($C$4=3,(IF($F$3=2,INDEX(DALLY!$N$14:$KZ$44,$M25,MATCH($AI$7,DALLY!$N$10:$KZ$10,0)+AG$3),0)),0),0)</f>
        <v>0</v>
      </c>
      <c r="AH25" s="71">
        <f t="shared" si="17"/>
        <v>0</v>
      </c>
      <c r="AI25" s="71">
        <f t="shared" si="18"/>
        <v>0</v>
      </c>
      <c r="AJ25" s="71">
        <f t="shared" si="19"/>
        <v>0</v>
      </c>
      <c r="AK25" s="72">
        <f t="shared" si="20"/>
        <v>0</v>
      </c>
    </row>
    <row r="26" spans="6:37" ht="20.100000000000001" customHeight="1" x14ac:dyDescent="0.25">
      <c r="F26" s="3">
        <f>IFERROR(IF($C$4=3,INDEX(DALLY!$N$14:$KZ$44,$M26,MATCH($AI$7,DALLY!$N$10:$KZ$10,0)+U$3),0),0)</f>
        <v>0</v>
      </c>
      <c r="G26" s="3">
        <f>IFERROR(IF($C$4=3,INDEX(DALLY!$N$14:$KZ$44,$M26,MATCH($AI$7,DALLY!$N$10:$KZ$10,0)+V$3),0),0)</f>
        <v>0</v>
      </c>
      <c r="H26" s="3">
        <f t="shared" si="3"/>
        <v>0</v>
      </c>
      <c r="I26" s="3">
        <f t="shared" si="4"/>
        <v>0</v>
      </c>
      <c r="J26" s="3" t="str">
        <f>IF($C$4=3,(IF(L26=0,(IF(N26&gt;=1,INDEX(DALLY!$M$14:$KZ$44,M26,MATCH($AI$7,DALLY!$L$10:$KZ$10,0)+3),"")),"")),"")</f>
        <v/>
      </c>
      <c r="K26" s="53">
        <f>IF($C$4=3,INDEX(AWAKASH!$F$10:$FS$40,$M26,MATCH($AI$7,AWAKASH!$F$6:$FS$6,0)+1),0)</f>
        <v>0</v>
      </c>
      <c r="L26" s="3">
        <f t="shared" si="5"/>
        <v>0</v>
      </c>
      <c r="M26" s="3">
        <v>15</v>
      </c>
      <c r="N26" s="3">
        <f t="shared" si="6"/>
        <v>0</v>
      </c>
      <c r="O26" s="61">
        <f t="shared" si="7"/>
        <v>0</v>
      </c>
      <c r="P26" s="62" t="str">
        <f t="shared" si="8"/>
        <v/>
      </c>
      <c r="Q26" s="962" t="str">
        <f t="shared" si="9"/>
        <v/>
      </c>
      <c r="R26" s="963"/>
      <c r="S26" s="63">
        <f>IFERROR(IF($C$4=3,INDEX(DALLY!$N$14:$KZ$44,$M26,MATCH($AI$7,DALLY!$N$10:$KZ$10,0)+S$3),0),0)</f>
        <v>0</v>
      </c>
      <c r="T26" s="64">
        <f>IFERROR(IF($C$4=3,INDEX(DALLY!$N$14:$KZ$44,$M26,MATCH($AI$7,DALLY!$N$10:$KZ$10,0)+T$3),0),0)</f>
        <v>0</v>
      </c>
      <c r="U26" s="65">
        <f t="shared" si="10"/>
        <v>0</v>
      </c>
      <c r="V26" s="65">
        <f t="shared" si="11"/>
        <v>0</v>
      </c>
      <c r="W26" s="66">
        <f t="shared" si="12"/>
        <v>0</v>
      </c>
      <c r="X26" s="66">
        <f t="shared" si="13"/>
        <v>0</v>
      </c>
      <c r="Y26" s="66">
        <f t="shared" si="14"/>
        <v>0</v>
      </c>
      <c r="Z26" s="65">
        <f t="shared" si="15"/>
        <v>0</v>
      </c>
      <c r="AA26" s="65">
        <f t="shared" si="15"/>
        <v>0</v>
      </c>
      <c r="AB26" s="67">
        <f>IFERROR(IF($C$4=3,INDEX(DALLY!$N$14:$KZ$44,$M26,MATCH($AI$7,DALLY!$N$10:$KZ$10,0)+AB$3),0),0)</f>
        <v>0</v>
      </c>
      <c r="AC26" s="68">
        <f t="shared" si="16"/>
        <v>0</v>
      </c>
      <c r="AD26" s="69">
        <f>IFERROR(IF($C$4=3,(IF($F$3=2,(IF(H26=2,INDEX(DALLY!$N$14:$KZ$44,$M26,MATCH($AI$7,DALLY!$N$10:$KZ$10,0)+AD$3),0)),0)),0),0)</f>
        <v>0</v>
      </c>
      <c r="AE26" s="70">
        <f>IFERROR(IF($C$4=3,(IF($F$3=2,INDEX(DALLY!$N$14:$KZ$44,$M26,MATCH($AI$7,DALLY!$N$10:$KZ$10,0)+AE$3),0)),0),0)</f>
        <v>0</v>
      </c>
      <c r="AF26" s="70">
        <f>IFERROR(IF($C$4=3,(IF($F$3=2,INDEX(DALLY!$N$14:$KZ$44,$M26,MATCH($AI$7,DALLY!$N$10:$KZ$10,0)+AF$3),0)),0),0)</f>
        <v>0</v>
      </c>
      <c r="AG26" s="70">
        <f>IFERROR(IF($C$4=3,(IF($F$3=2,INDEX(DALLY!$N$14:$KZ$44,$M26,MATCH($AI$7,DALLY!$N$10:$KZ$10,0)+AG$3),0)),0),0)</f>
        <v>0</v>
      </c>
      <c r="AH26" s="71">
        <f t="shared" si="17"/>
        <v>0</v>
      </c>
      <c r="AI26" s="71">
        <f t="shared" si="18"/>
        <v>0</v>
      </c>
      <c r="AJ26" s="71">
        <f t="shared" si="19"/>
        <v>0</v>
      </c>
      <c r="AK26" s="72">
        <f t="shared" si="20"/>
        <v>0</v>
      </c>
    </row>
    <row r="27" spans="6:37" ht="20.100000000000001" customHeight="1" x14ac:dyDescent="0.25">
      <c r="F27" s="3">
        <f>IFERROR(IF($C$4=3,INDEX(DALLY!$N$14:$KZ$44,$M27,MATCH($AI$7,DALLY!$N$10:$KZ$10,0)+U$3),0),0)</f>
        <v>0</v>
      </c>
      <c r="G27" s="3">
        <f>IFERROR(IF($C$4=3,INDEX(DALLY!$N$14:$KZ$44,$M27,MATCH($AI$7,DALLY!$N$10:$KZ$10,0)+V$3),0),0)</f>
        <v>0</v>
      </c>
      <c r="H27" s="3">
        <f t="shared" si="3"/>
        <v>0</v>
      </c>
      <c r="I27" s="3">
        <f t="shared" si="4"/>
        <v>0</v>
      </c>
      <c r="J27" s="3" t="str">
        <f>IF($C$4=3,(IF(L27=0,(IF(N27&gt;=1,INDEX(DALLY!$M$14:$KZ$44,M27,MATCH($AI$7,DALLY!$L$10:$KZ$10,0)+3),"")),"")),"")</f>
        <v/>
      </c>
      <c r="K27" s="53">
        <f>IF($C$4=3,INDEX(AWAKASH!$F$10:$FS$40,$M27,MATCH($AI$7,AWAKASH!$F$6:$FS$6,0)+1),0)</f>
        <v>0</v>
      </c>
      <c r="L27" s="3">
        <f t="shared" si="5"/>
        <v>0</v>
      </c>
      <c r="M27" s="3">
        <v>16</v>
      </c>
      <c r="N27" s="3">
        <f t="shared" si="6"/>
        <v>0</v>
      </c>
      <c r="O27" s="61">
        <f t="shared" si="7"/>
        <v>0</v>
      </c>
      <c r="P27" s="62" t="str">
        <f t="shared" si="8"/>
        <v/>
      </c>
      <c r="Q27" s="962" t="str">
        <f t="shared" si="9"/>
        <v/>
      </c>
      <c r="R27" s="963"/>
      <c r="S27" s="63">
        <f>IFERROR(IF($C$4=3,INDEX(DALLY!$N$14:$KZ$44,$M27,MATCH($AI$7,DALLY!$N$10:$KZ$10,0)+S$3),0),0)</f>
        <v>0</v>
      </c>
      <c r="T27" s="64">
        <f>IFERROR(IF($C$4=3,INDEX(DALLY!$N$14:$KZ$44,$M27,MATCH($AI$7,DALLY!$N$10:$KZ$10,0)+T$3),0),0)</f>
        <v>0</v>
      </c>
      <c r="U27" s="65">
        <f t="shared" si="10"/>
        <v>0</v>
      </c>
      <c r="V27" s="65">
        <f t="shared" si="11"/>
        <v>0</v>
      </c>
      <c r="W27" s="66">
        <f t="shared" si="12"/>
        <v>0</v>
      </c>
      <c r="X27" s="66">
        <f t="shared" si="13"/>
        <v>0</v>
      </c>
      <c r="Y27" s="66">
        <f t="shared" si="14"/>
        <v>0</v>
      </c>
      <c r="Z27" s="65">
        <f t="shared" si="15"/>
        <v>0</v>
      </c>
      <c r="AA27" s="65">
        <f t="shared" si="15"/>
        <v>0</v>
      </c>
      <c r="AB27" s="67">
        <f>IFERROR(IF($C$4=3,INDEX(DALLY!$N$14:$KZ$44,$M27,MATCH($AI$7,DALLY!$N$10:$KZ$10,0)+AB$3),0),0)</f>
        <v>0</v>
      </c>
      <c r="AC27" s="68">
        <f t="shared" si="16"/>
        <v>0</v>
      </c>
      <c r="AD27" s="69">
        <f>IFERROR(IF($C$4=3,(IF($F$3=2,(IF(H27=2,INDEX(DALLY!$N$14:$KZ$44,$M27,MATCH($AI$7,DALLY!$N$10:$KZ$10,0)+AD$3),0)),0)),0),0)</f>
        <v>0</v>
      </c>
      <c r="AE27" s="70">
        <f>IFERROR(IF($C$4=3,(IF($F$3=2,INDEX(DALLY!$N$14:$KZ$44,$M27,MATCH($AI$7,DALLY!$N$10:$KZ$10,0)+AE$3),0)),0),0)</f>
        <v>0</v>
      </c>
      <c r="AF27" s="70">
        <f>IFERROR(IF($C$4=3,(IF($F$3=2,INDEX(DALLY!$N$14:$KZ$44,$M27,MATCH($AI$7,DALLY!$N$10:$KZ$10,0)+AF$3),0)),0),0)</f>
        <v>0</v>
      </c>
      <c r="AG27" s="70">
        <f>IFERROR(IF($C$4=3,(IF($F$3=2,INDEX(DALLY!$N$14:$KZ$44,$M27,MATCH($AI$7,DALLY!$N$10:$KZ$10,0)+AG$3),0)),0),0)</f>
        <v>0</v>
      </c>
      <c r="AH27" s="71">
        <f t="shared" si="17"/>
        <v>0</v>
      </c>
      <c r="AI27" s="71">
        <f t="shared" si="18"/>
        <v>0</v>
      </c>
      <c r="AJ27" s="71">
        <f t="shared" si="19"/>
        <v>0</v>
      </c>
      <c r="AK27" s="72">
        <f t="shared" si="20"/>
        <v>0</v>
      </c>
    </row>
    <row r="28" spans="6:37" ht="20.100000000000001" customHeight="1" x14ac:dyDescent="0.25">
      <c r="F28" s="3">
        <f>IFERROR(IF($C$4=3,INDEX(DALLY!$N$14:$KZ$44,$M28,MATCH($AI$7,DALLY!$N$10:$KZ$10,0)+U$3),0),0)</f>
        <v>0</v>
      </c>
      <c r="G28" s="3">
        <f>IFERROR(IF($C$4=3,INDEX(DALLY!$N$14:$KZ$44,$M28,MATCH($AI$7,DALLY!$N$10:$KZ$10,0)+V$3),0),0)</f>
        <v>0</v>
      </c>
      <c r="H28" s="3">
        <f t="shared" si="3"/>
        <v>0</v>
      </c>
      <c r="I28" s="3">
        <f t="shared" si="4"/>
        <v>0</v>
      </c>
      <c r="J28" s="3" t="str">
        <f>IF($C$4=3,(IF(L28=0,(IF(N28&gt;=1,INDEX(DALLY!$M$14:$KZ$44,M28,MATCH($AI$7,DALLY!$L$10:$KZ$10,0)+3),"")),"")),"")</f>
        <v/>
      </c>
      <c r="K28" s="53">
        <f>IF($C$4=3,INDEX(AWAKASH!$F$10:$FS$40,$M28,MATCH($AI$7,AWAKASH!$F$6:$FS$6,0)+1),0)</f>
        <v>0</v>
      </c>
      <c r="L28" s="3">
        <f t="shared" si="5"/>
        <v>0</v>
      </c>
      <c r="M28" s="3">
        <v>17</v>
      </c>
      <c r="N28" s="3">
        <f t="shared" si="6"/>
        <v>0</v>
      </c>
      <c r="O28" s="61">
        <f t="shared" si="7"/>
        <v>0</v>
      </c>
      <c r="P28" s="62" t="str">
        <f t="shared" si="8"/>
        <v/>
      </c>
      <c r="Q28" s="962" t="str">
        <f t="shared" si="9"/>
        <v/>
      </c>
      <c r="R28" s="963"/>
      <c r="S28" s="63">
        <f>IFERROR(IF($C$4=3,INDEX(DALLY!$N$14:$KZ$44,$M28,MATCH($AI$7,DALLY!$N$10:$KZ$10,0)+S$3),0),0)</f>
        <v>0</v>
      </c>
      <c r="T28" s="64">
        <f>IFERROR(IF($C$4=3,INDEX(DALLY!$N$14:$KZ$44,$M28,MATCH($AI$7,DALLY!$N$10:$KZ$10,0)+T$3),0),0)</f>
        <v>0</v>
      </c>
      <c r="U28" s="65">
        <f t="shared" si="10"/>
        <v>0</v>
      </c>
      <c r="V28" s="65">
        <f t="shared" si="11"/>
        <v>0</v>
      </c>
      <c r="W28" s="66">
        <f t="shared" si="12"/>
        <v>0</v>
      </c>
      <c r="X28" s="66">
        <f t="shared" si="13"/>
        <v>0</v>
      </c>
      <c r="Y28" s="66">
        <f t="shared" si="14"/>
        <v>0</v>
      </c>
      <c r="Z28" s="65">
        <f t="shared" si="15"/>
        <v>0</v>
      </c>
      <c r="AA28" s="65">
        <f t="shared" si="15"/>
        <v>0</v>
      </c>
      <c r="AB28" s="67">
        <f>IFERROR(IF($C$4=3,INDEX(DALLY!$N$14:$KZ$44,$M28,MATCH($AI$7,DALLY!$N$10:$KZ$10,0)+AB$3),0),0)</f>
        <v>0</v>
      </c>
      <c r="AC28" s="68">
        <f t="shared" si="16"/>
        <v>0</v>
      </c>
      <c r="AD28" s="69">
        <f>IFERROR(IF($C$4=3,(IF($F$3=2,(IF(H28=2,INDEX(DALLY!$N$14:$KZ$44,$M28,MATCH($AI$7,DALLY!$N$10:$KZ$10,0)+AD$3),0)),0)),0),0)</f>
        <v>0</v>
      </c>
      <c r="AE28" s="70">
        <f>IFERROR(IF($C$4=3,(IF($F$3=2,INDEX(DALLY!$N$14:$KZ$44,$M28,MATCH($AI$7,DALLY!$N$10:$KZ$10,0)+AE$3),0)),0),0)</f>
        <v>0</v>
      </c>
      <c r="AF28" s="70">
        <f>IFERROR(IF($C$4=3,(IF($F$3=2,INDEX(DALLY!$N$14:$KZ$44,$M28,MATCH($AI$7,DALLY!$N$10:$KZ$10,0)+AF$3),0)),0),0)</f>
        <v>0</v>
      </c>
      <c r="AG28" s="70">
        <f>IFERROR(IF($C$4=3,(IF($F$3=2,INDEX(DALLY!$N$14:$KZ$44,$M28,MATCH($AI$7,DALLY!$N$10:$KZ$10,0)+AG$3),0)),0),0)</f>
        <v>0</v>
      </c>
      <c r="AH28" s="71">
        <f t="shared" si="17"/>
        <v>0</v>
      </c>
      <c r="AI28" s="71">
        <f t="shared" si="18"/>
        <v>0</v>
      </c>
      <c r="AJ28" s="71">
        <f t="shared" si="19"/>
        <v>0</v>
      </c>
      <c r="AK28" s="72">
        <f t="shared" si="20"/>
        <v>0</v>
      </c>
    </row>
    <row r="29" spans="6:37" ht="20.100000000000001" customHeight="1" x14ac:dyDescent="0.25">
      <c r="F29" s="3">
        <f>IFERROR(IF($C$4=3,INDEX(DALLY!$N$14:$KZ$44,$M29,MATCH($AI$7,DALLY!$N$10:$KZ$10,0)+U$3),0),0)</f>
        <v>0</v>
      </c>
      <c r="G29" s="3">
        <f>IFERROR(IF($C$4=3,INDEX(DALLY!$N$14:$KZ$44,$M29,MATCH($AI$7,DALLY!$N$10:$KZ$10,0)+V$3),0),0)</f>
        <v>0</v>
      </c>
      <c r="H29" s="3">
        <f t="shared" si="3"/>
        <v>0</v>
      </c>
      <c r="I29" s="3">
        <f t="shared" si="4"/>
        <v>0</v>
      </c>
      <c r="J29" s="3" t="str">
        <f>IF($C$4=3,(IF(L29=0,(IF(N29&gt;=1,INDEX(DALLY!$M$14:$KZ$44,M29,MATCH($AI$7,DALLY!$L$10:$KZ$10,0)+3),"")),"")),"")</f>
        <v/>
      </c>
      <c r="K29" s="53">
        <f>IF($C$4=3,INDEX(AWAKASH!$F$10:$FS$40,$M29,MATCH($AI$7,AWAKASH!$F$6:$FS$6,0)+1),0)</f>
        <v>0</v>
      </c>
      <c r="L29" s="3">
        <f t="shared" si="5"/>
        <v>0</v>
      </c>
      <c r="M29" s="3">
        <v>18</v>
      </c>
      <c r="N29" s="3">
        <f t="shared" si="6"/>
        <v>0</v>
      </c>
      <c r="O29" s="61">
        <f t="shared" si="7"/>
        <v>0</v>
      </c>
      <c r="P29" s="62" t="str">
        <f t="shared" si="8"/>
        <v/>
      </c>
      <c r="Q29" s="962" t="str">
        <f t="shared" si="9"/>
        <v/>
      </c>
      <c r="R29" s="963"/>
      <c r="S29" s="63">
        <f>IFERROR(IF($C$4=3,INDEX(DALLY!$N$14:$KZ$44,$M29,MATCH($AI$7,DALLY!$N$10:$KZ$10,0)+S$3),0),0)</f>
        <v>0</v>
      </c>
      <c r="T29" s="64">
        <f>IFERROR(IF($C$4=3,INDEX(DALLY!$N$14:$KZ$44,$M29,MATCH($AI$7,DALLY!$N$10:$KZ$10,0)+T$3),0),0)</f>
        <v>0</v>
      </c>
      <c r="U29" s="65">
        <f t="shared" si="10"/>
        <v>0</v>
      </c>
      <c r="V29" s="65">
        <f t="shared" si="11"/>
        <v>0</v>
      </c>
      <c r="W29" s="66">
        <f t="shared" si="12"/>
        <v>0</v>
      </c>
      <c r="X29" s="66">
        <f t="shared" si="13"/>
        <v>0</v>
      </c>
      <c r="Y29" s="66">
        <f t="shared" si="14"/>
        <v>0</v>
      </c>
      <c r="Z29" s="65">
        <f t="shared" si="15"/>
        <v>0</v>
      </c>
      <c r="AA29" s="65">
        <f t="shared" si="15"/>
        <v>0</v>
      </c>
      <c r="AB29" s="67">
        <f>IFERROR(IF($C$4=3,INDEX(DALLY!$N$14:$KZ$44,$M29,MATCH($AI$7,DALLY!$N$10:$KZ$10,0)+AB$3),0),0)</f>
        <v>0</v>
      </c>
      <c r="AC29" s="68">
        <f t="shared" si="16"/>
        <v>0</v>
      </c>
      <c r="AD29" s="69">
        <f>IFERROR(IF($C$4=3,(IF($F$3=2,(IF(H29=2,INDEX(DALLY!$N$14:$KZ$44,$M29,MATCH($AI$7,DALLY!$N$10:$KZ$10,0)+AD$3),0)),0)),0),0)</f>
        <v>0</v>
      </c>
      <c r="AE29" s="70">
        <f>IFERROR(IF($C$4=3,(IF($F$3=2,INDEX(DALLY!$N$14:$KZ$44,$M29,MATCH($AI$7,DALLY!$N$10:$KZ$10,0)+AE$3),0)),0),0)</f>
        <v>0</v>
      </c>
      <c r="AF29" s="70">
        <f>IFERROR(IF($C$4=3,(IF($F$3=2,INDEX(DALLY!$N$14:$KZ$44,$M29,MATCH($AI$7,DALLY!$N$10:$KZ$10,0)+AF$3),0)),0),0)</f>
        <v>0</v>
      </c>
      <c r="AG29" s="70">
        <f>IFERROR(IF($C$4=3,(IF($F$3=2,INDEX(DALLY!$N$14:$KZ$44,$M29,MATCH($AI$7,DALLY!$N$10:$KZ$10,0)+AG$3),0)),0),0)</f>
        <v>0</v>
      </c>
      <c r="AH29" s="71">
        <f t="shared" si="17"/>
        <v>0</v>
      </c>
      <c r="AI29" s="71">
        <f t="shared" si="18"/>
        <v>0</v>
      </c>
      <c r="AJ29" s="71">
        <f t="shared" si="19"/>
        <v>0</v>
      </c>
      <c r="AK29" s="72">
        <f t="shared" si="20"/>
        <v>0</v>
      </c>
    </row>
    <row r="30" spans="6:37" ht="20.100000000000001" customHeight="1" x14ac:dyDescent="0.25">
      <c r="F30" s="3">
        <f>IFERROR(IF($C$4=3,INDEX(DALLY!$N$14:$KZ$44,$M30,MATCH($AI$7,DALLY!$N$10:$KZ$10,0)+U$3),0),0)</f>
        <v>0</v>
      </c>
      <c r="G30" s="3">
        <f>IFERROR(IF($C$4=3,INDEX(DALLY!$N$14:$KZ$44,$M30,MATCH($AI$7,DALLY!$N$10:$KZ$10,0)+V$3),0),0)</f>
        <v>0</v>
      </c>
      <c r="H30" s="3">
        <f t="shared" si="3"/>
        <v>0</v>
      </c>
      <c r="I30" s="3">
        <f t="shared" si="4"/>
        <v>0</v>
      </c>
      <c r="J30" s="3" t="str">
        <f>IF($C$4=3,(IF(L30=0,(IF(N30&gt;=1,INDEX(DALLY!$M$14:$KZ$44,M30,MATCH($AI$7,DALLY!$L$10:$KZ$10,0)+3),"")),"")),"")</f>
        <v/>
      </c>
      <c r="K30" s="53">
        <f>IF($C$4=3,INDEX(AWAKASH!$F$10:$FS$40,$M30,MATCH($AI$7,AWAKASH!$F$6:$FS$6,0)+1),0)</f>
        <v>0</v>
      </c>
      <c r="L30" s="3">
        <f t="shared" si="5"/>
        <v>0</v>
      </c>
      <c r="M30" s="3">
        <v>19</v>
      </c>
      <c r="N30" s="3">
        <f t="shared" si="6"/>
        <v>0</v>
      </c>
      <c r="O30" s="61">
        <f t="shared" si="7"/>
        <v>0</v>
      </c>
      <c r="P30" s="62" t="str">
        <f t="shared" si="8"/>
        <v/>
      </c>
      <c r="Q30" s="962" t="str">
        <f t="shared" si="9"/>
        <v/>
      </c>
      <c r="R30" s="963"/>
      <c r="S30" s="63">
        <f>IFERROR(IF($C$4=3,INDEX(DALLY!$N$14:$KZ$44,$M30,MATCH($AI$7,DALLY!$N$10:$KZ$10,0)+S$3),0),0)</f>
        <v>0</v>
      </c>
      <c r="T30" s="64">
        <f>IFERROR(IF($C$4=3,INDEX(DALLY!$N$14:$KZ$44,$M30,MATCH($AI$7,DALLY!$N$10:$KZ$10,0)+T$3),0),0)</f>
        <v>0</v>
      </c>
      <c r="U30" s="65">
        <f t="shared" si="10"/>
        <v>0</v>
      </c>
      <c r="V30" s="65">
        <f t="shared" si="11"/>
        <v>0</v>
      </c>
      <c r="W30" s="66">
        <f t="shared" si="12"/>
        <v>0</v>
      </c>
      <c r="X30" s="66">
        <f t="shared" si="13"/>
        <v>0</v>
      </c>
      <c r="Y30" s="66">
        <f t="shared" si="14"/>
        <v>0</v>
      </c>
      <c r="Z30" s="65">
        <f t="shared" si="15"/>
        <v>0</v>
      </c>
      <c r="AA30" s="65">
        <f t="shared" si="15"/>
        <v>0</v>
      </c>
      <c r="AB30" s="67">
        <f>IFERROR(IF($C$4=3,INDEX(DALLY!$N$14:$KZ$44,$M30,MATCH($AI$7,DALLY!$N$10:$KZ$10,0)+AB$3),0),0)</f>
        <v>0</v>
      </c>
      <c r="AC30" s="68">
        <f t="shared" si="16"/>
        <v>0</v>
      </c>
      <c r="AD30" s="69">
        <f>IFERROR(IF($C$4=3,(IF($F$3=2,(IF(H30=2,INDEX(DALLY!$N$14:$KZ$44,$M30,MATCH($AI$7,DALLY!$N$10:$KZ$10,0)+AD$3),0)),0)),0),0)</f>
        <v>0</v>
      </c>
      <c r="AE30" s="70">
        <f>IFERROR(IF($C$4=3,(IF($F$3=2,INDEX(DALLY!$N$14:$KZ$44,$M30,MATCH($AI$7,DALLY!$N$10:$KZ$10,0)+AE$3),0)),0),0)</f>
        <v>0</v>
      </c>
      <c r="AF30" s="70">
        <f>IFERROR(IF($C$4=3,(IF($F$3=2,INDEX(DALLY!$N$14:$KZ$44,$M30,MATCH($AI$7,DALLY!$N$10:$KZ$10,0)+AF$3),0)),0),0)</f>
        <v>0</v>
      </c>
      <c r="AG30" s="70">
        <f>IFERROR(IF($C$4=3,(IF($F$3=2,INDEX(DALLY!$N$14:$KZ$44,$M30,MATCH($AI$7,DALLY!$N$10:$KZ$10,0)+AG$3),0)),0),0)</f>
        <v>0</v>
      </c>
      <c r="AH30" s="71">
        <f t="shared" si="17"/>
        <v>0</v>
      </c>
      <c r="AI30" s="71">
        <f t="shared" si="18"/>
        <v>0</v>
      </c>
      <c r="AJ30" s="71">
        <f t="shared" si="19"/>
        <v>0</v>
      </c>
      <c r="AK30" s="72">
        <f t="shared" si="20"/>
        <v>0</v>
      </c>
    </row>
    <row r="31" spans="6:37" ht="20.100000000000001" customHeight="1" x14ac:dyDescent="0.25">
      <c r="F31" s="3">
        <f>IFERROR(IF($C$4=3,INDEX(DALLY!$N$14:$KZ$44,$M31,MATCH($AI$7,DALLY!$N$10:$KZ$10,0)+U$3),0),0)</f>
        <v>0</v>
      </c>
      <c r="G31" s="3">
        <f>IFERROR(IF($C$4=3,INDEX(DALLY!$N$14:$KZ$44,$M31,MATCH($AI$7,DALLY!$N$10:$KZ$10,0)+V$3),0),0)</f>
        <v>0</v>
      </c>
      <c r="H31" s="3">
        <f t="shared" si="3"/>
        <v>0</v>
      </c>
      <c r="I31" s="3">
        <f t="shared" si="4"/>
        <v>0</v>
      </c>
      <c r="J31" s="3" t="str">
        <f>IF($C$4=3,(IF(L31=0,(IF(N31&gt;=1,INDEX(DALLY!$M$14:$KZ$44,M31,MATCH($AI$7,DALLY!$L$10:$KZ$10,0)+3),"")),"")),"")</f>
        <v/>
      </c>
      <c r="K31" s="53">
        <f>IF($C$4=3,INDEX(AWAKASH!$F$10:$FS$40,$M31,MATCH($AI$7,AWAKASH!$F$6:$FS$6,0)+1),0)</f>
        <v>0</v>
      </c>
      <c r="L31" s="3">
        <f t="shared" si="5"/>
        <v>0</v>
      </c>
      <c r="M31" s="3">
        <v>20</v>
      </c>
      <c r="N31" s="3">
        <f t="shared" si="6"/>
        <v>0</v>
      </c>
      <c r="O31" s="61">
        <f t="shared" si="7"/>
        <v>0</v>
      </c>
      <c r="P31" s="62" t="str">
        <f t="shared" si="8"/>
        <v/>
      </c>
      <c r="Q31" s="962" t="str">
        <f t="shared" si="9"/>
        <v/>
      </c>
      <c r="R31" s="963"/>
      <c r="S31" s="63">
        <f>IFERROR(IF($C$4=3,INDEX(DALLY!$N$14:$KZ$44,$M31,MATCH($AI$7,DALLY!$N$10:$KZ$10,0)+S$3),0),0)</f>
        <v>0</v>
      </c>
      <c r="T31" s="64">
        <f>IFERROR(IF($C$4=3,INDEX(DALLY!$N$14:$KZ$44,$M31,MATCH($AI$7,DALLY!$N$10:$KZ$10,0)+T$3),0),0)</f>
        <v>0</v>
      </c>
      <c r="U31" s="65">
        <f t="shared" si="10"/>
        <v>0</v>
      </c>
      <c r="V31" s="65">
        <f t="shared" si="11"/>
        <v>0</v>
      </c>
      <c r="W31" s="66">
        <f t="shared" si="12"/>
        <v>0</v>
      </c>
      <c r="X31" s="66">
        <f t="shared" si="13"/>
        <v>0</v>
      </c>
      <c r="Y31" s="66">
        <f t="shared" si="14"/>
        <v>0</v>
      </c>
      <c r="Z31" s="65">
        <f t="shared" si="15"/>
        <v>0</v>
      </c>
      <c r="AA31" s="65">
        <f t="shared" si="15"/>
        <v>0</v>
      </c>
      <c r="AB31" s="67">
        <f>IFERROR(IF($C$4=3,INDEX(DALLY!$N$14:$KZ$44,$M31,MATCH($AI$7,DALLY!$N$10:$KZ$10,0)+AB$3),0),0)</f>
        <v>0</v>
      </c>
      <c r="AC31" s="68">
        <f t="shared" si="16"/>
        <v>0</v>
      </c>
      <c r="AD31" s="69">
        <f>IFERROR(IF($C$4=3,(IF($F$3=2,(IF(H31=2,INDEX(DALLY!$N$14:$KZ$44,$M31,MATCH($AI$7,DALLY!$N$10:$KZ$10,0)+AD$3),0)),0)),0),0)</f>
        <v>0</v>
      </c>
      <c r="AE31" s="70">
        <f>IFERROR(IF($C$4=3,(IF($F$3=2,INDEX(DALLY!$N$14:$KZ$44,$M31,MATCH($AI$7,DALLY!$N$10:$KZ$10,0)+AE$3),0)),0),0)</f>
        <v>0</v>
      </c>
      <c r="AF31" s="70">
        <f>IFERROR(IF($C$4=3,(IF($F$3=2,INDEX(DALLY!$N$14:$KZ$44,$M31,MATCH($AI$7,DALLY!$N$10:$KZ$10,0)+AF$3),0)),0),0)</f>
        <v>0</v>
      </c>
      <c r="AG31" s="70">
        <f>IFERROR(IF($C$4=3,(IF($F$3=2,INDEX(DALLY!$N$14:$KZ$44,$M31,MATCH($AI$7,DALLY!$N$10:$KZ$10,0)+AG$3),0)),0),0)</f>
        <v>0</v>
      </c>
      <c r="AH31" s="71">
        <f t="shared" si="17"/>
        <v>0</v>
      </c>
      <c r="AI31" s="71">
        <f t="shared" si="18"/>
        <v>0</v>
      </c>
      <c r="AJ31" s="71">
        <f t="shared" si="19"/>
        <v>0</v>
      </c>
      <c r="AK31" s="72">
        <f t="shared" si="20"/>
        <v>0</v>
      </c>
    </row>
    <row r="32" spans="6:37" ht="20.100000000000001" customHeight="1" x14ac:dyDescent="0.25">
      <c r="F32" s="3">
        <f>IFERROR(IF($C$4=3,INDEX(DALLY!$N$14:$KZ$44,$M32,MATCH($AI$7,DALLY!$N$10:$KZ$10,0)+U$3),0),0)</f>
        <v>0</v>
      </c>
      <c r="G32" s="3">
        <f>IFERROR(IF($C$4=3,INDEX(DALLY!$N$14:$KZ$44,$M32,MATCH($AI$7,DALLY!$N$10:$KZ$10,0)+V$3),0),0)</f>
        <v>0</v>
      </c>
      <c r="H32" s="3">
        <f t="shared" si="3"/>
        <v>0</v>
      </c>
      <c r="I32" s="3">
        <f t="shared" si="4"/>
        <v>0</v>
      </c>
      <c r="J32" s="3" t="str">
        <f>IF($C$4=3,(IF(L32=0,(IF(N32&gt;=1,INDEX(DALLY!$M$14:$KZ$44,M32,MATCH($AI$7,DALLY!$L$10:$KZ$10,0)+3),"")),"")),"")</f>
        <v/>
      </c>
      <c r="K32" s="53">
        <f>IF($C$4=3,INDEX(AWAKASH!$F$10:$FS$40,$M32,MATCH($AI$7,AWAKASH!$F$6:$FS$6,0)+1),0)</f>
        <v>0</v>
      </c>
      <c r="L32" s="3">
        <f t="shared" si="5"/>
        <v>0</v>
      </c>
      <c r="M32" s="3">
        <v>21</v>
      </c>
      <c r="N32" s="3">
        <f t="shared" si="6"/>
        <v>0</v>
      </c>
      <c r="O32" s="61">
        <f t="shared" si="7"/>
        <v>0</v>
      </c>
      <c r="P32" s="62" t="str">
        <f t="shared" si="8"/>
        <v/>
      </c>
      <c r="Q32" s="962" t="str">
        <f t="shared" si="9"/>
        <v/>
      </c>
      <c r="R32" s="963"/>
      <c r="S32" s="63">
        <f>IFERROR(IF($C$4=3,INDEX(DALLY!$N$14:$KZ$44,$M32,MATCH($AI$7,DALLY!$N$10:$KZ$10,0)+S$3),0),0)</f>
        <v>0</v>
      </c>
      <c r="T32" s="64">
        <f>IFERROR(IF($C$4=3,INDEX(DALLY!$N$14:$KZ$44,$M32,MATCH($AI$7,DALLY!$N$10:$KZ$10,0)+T$3),0),0)</f>
        <v>0</v>
      </c>
      <c r="U32" s="65">
        <f t="shared" si="10"/>
        <v>0</v>
      </c>
      <c r="V32" s="65">
        <f t="shared" si="11"/>
        <v>0</v>
      </c>
      <c r="W32" s="66">
        <f t="shared" si="12"/>
        <v>0</v>
      </c>
      <c r="X32" s="66">
        <f t="shared" si="13"/>
        <v>0</v>
      </c>
      <c r="Y32" s="66">
        <f t="shared" si="14"/>
        <v>0</v>
      </c>
      <c r="Z32" s="65">
        <f t="shared" si="15"/>
        <v>0</v>
      </c>
      <c r="AA32" s="65">
        <f t="shared" si="15"/>
        <v>0</v>
      </c>
      <c r="AB32" s="67">
        <f>IFERROR(IF($C$4=3,INDEX(DALLY!$N$14:$KZ$44,$M32,MATCH($AI$7,DALLY!$N$10:$KZ$10,0)+AB$3),0),0)</f>
        <v>0</v>
      </c>
      <c r="AC32" s="68">
        <f t="shared" si="16"/>
        <v>0</v>
      </c>
      <c r="AD32" s="69">
        <f>IFERROR(IF($C$4=3,(IF($F$3=2,(IF(H32=2,INDEX(DALLY!$N$14:$KZ$44,$M32,MATCH($AI$7,DALLY!$N$10:$KZ$10,0)+AD$3),0)),0)),0),0)</f>
        <v>0</v>
      </c>
      <c r="AE32" s="70">
        <f>IFERROR(IF($C$4=3,(IF($F$3=2,INDEX(DALLY!$N$14:$KZ$44,$M32,MATCH($AI$7,DALLY!$N$10:$KZ$10,0)+AE$3),0)),0),0)</f>
        <v>0</v>
      </c>
      <c r="AF32" s="70">
        <f>IFERROR(IF($C$4=3,(IF($F$3=2,INDEX(DALLY!$N$14:$KZ$44,$M32,MATCH($AI$7,DALLY!$N$10:$KZ$10,0)+AF$3),0)),0),0)</f>
        <v>0</v>
      </c>
      <c r="AG32" s="70">
        <f>IFERROR(IF($C$4=3,(IF($F$3=2,INDEX(DALLY!$N$14:$KZ$44,$M32,MATCH($AI$7,DALLY!$N$10:$KZ$10,0)+AG$3),0)),0),0)</f>
        <v>0</v>
      </c>
      <c r="AH32" s="71">
        <f t="shared" si="17"/>
        <v>0</v>
      </c>
      <c r="AI32" s="71">
        <f t="shared" si="18"/>
        <v>0</v>
      </c>
      <c r="AJ32" s="71">
        <f t="shared" si="19"/>
        <v>0</v>
      </c>
      <c r="AK32" s="72">
        <f t="shared" si="20"/>
        <v>0</v>
      </c>
    </row>
    <row r="33" spans="6:37" ht="20.100000000000001" customHeight="1" x14ac:dyDescent="0.25">
      <c r="F33" s="3">
        <f>IFERROR(IF($C$4=3,INDEX(DALLY!$N$14:$KZ$44,$M33,MATCH($AI$7,DALLY!$N$10:$KZ$10,0)+U$3),0),0)</f>
        <v>0</v>
      </c>
      <c r="G33" s="3">
        <f>IFERROR(IF($C$4=3,INDEX(DALLY!$N$14:$KZ$44,$M33,MATCH($AI$7,DALLY!$N$10:$KZ$10,0)+V$3),0),0)</f>
        <v>0</v>
      </c>
      <c r="H33" s="3">
        <f t="shared" si="3"/>
        <v>0</v>
      </c>
      <c r="I33" s="3">
        <f t="shared" si="4"/>
        <v>0</v>
      </c>
      <c r="J33" s="3" t="str">
        <f>IF($C$4=3,(IF(L33=0,(IF(N33&gt;=1,INDEX(DALLY!$M$14:$KZ$44,M33,MATCH($AI$7,DALLY!$L$10:$KZ$10,0)+3),"")),"")),"")</f>
        <v/>
      </c>
      <c r="K33" s="53">
        <f>IF($C$4=3,INDEX(AWAKASH!$F$10:$FS$40,$M33,MATCH($AI$7,AWAKASH!$F$6:$FS$6,0)+1),0)</f>
        <v>0</v>
      </c>
      <c r="L33" s="3">
        <f t="shared" si="5"/>
        <v>0</v>
      </c>
      <c r="M33" s="3">
        <v>22</v>
      </c>
      <c r="N33" s="3">
        <f t="shared" si="6"/>
        <v>0</v>
      </c>
      <c r="O33" s="61">
        <f t="shared" si="7"/>
        <v>0</v>
      </c>
      <c r="P33" s="62" t="str">
        <f t="shared" si="8"/>
        <v/>
      </c>
      <c r="Q33" s="962" t="str">
        <f t="shared" si="9"/>
        <v/>
      </c>
      <c r="R33" s="963"/>
      <c r="S33" s="63">
        <f>IFERROR(IF($C$4=3,INDEX(DALLY!$N$14:$KZ$44,$M33,MATCH($AI$7,DALLY!$N$10:$KZ$10,0)+S$3),0),0)</f>
        <v>0</v>
      </c>
      <c r="T33" s="64">
        <f>IFERROR(IF($C$4=3,INDEX(DALLY!$N$14:$KZ$44,$M33,MATCH($AI$7,DALLY!$N$10:$KZ$10,0)+T$3),0),0)</f>
        <v>0</v>
      </c>
      <c r="U33" s="65">
        <f t="shared" si="10"/>
        <v>0</v>
      </c>
      <c r="V33" s="65">
        <f t="shared" si="11"/>
        <v>0</v>
      </c>
      <c r="W33" s="66">
        <f t="shared" si="12"/>
        <v>0</v>
      </c>
      <c r="X33" s="66">
        <f t="shared" si="13"/>
        <v>0</v>
      </c>
      <c r="Y33" s="66">
        <f t="shared" si="14"/>
        <v>0</v>
      </c>
      <c r="Z33" s="65">
        <f t="shared" si="15"/>
        <v>0</v>
      </c>
      <c r="AA33" s="65">
        <f t="shared" si="15"/>
        <v>0</v>
      </c>
      <c r="AB33" s="67">
        <f>IFERROR(IF($C$4=3,INDEX(DALLY!$N$14:$KZ$44,$M33,MATCH($AI$7,DALLY!$N$10:$KZ$10,0)+AB$3),0),0)</f>
        <v>0</v>
      </c>
      <c r="AC33" s="68">
        <f t="shared" si="16"/>
        <v>0</v>
      </c>
      <c r="AD33" s="69">
        <f>IFERROR(IF($C$4=3,(IF($F$3=2,(IF(H33=2,INDEX(DALLY!$N$14:$KZ$44,$M33,MATCH($AI$7,DALLY!$N$10:$KZ$10,0)+AD$3),0)),0)),0),0)</f>
        <v>0</v>
      </c>
      <c r="AE33" s="70">
        <f>IFERROR(IF($C$4=3,(IF($F$3=2,INDEX(DALLY!$N$14:$KZ$44,$M33,MATCH($AI$7,DALLY!$N$10:$KZ$10,0)+AE$3),0)),0),0)</f>
        <v>0</v>
      </c>
      <c r="AF33" s="70">
        <f>IFERROR(IF($C$4=3,(IF($F$3=2,INDEX(DALLY!$N$14:$KZ$44,$M33,MATCH($AI$7,DALLY!$N$10:$KZ$10,0)+AF$3),0)),0),0)</f>
        <v>0</v>
      </c>
      <c r="AG33" s="70">
        <f>IFERROR(IF($C$4=3,(IF($F$3=2,INDEX(DALLY!$N$14:$KZ$44,$M33,MATCH($AI$7,DALLY!$N$10:$KZ$10,0)+AG$3),0)),0),0)</f>
        <v>0</v>
      </c>
      <c r="AH33" s="71">
        <f t="shared" si="17"/>
        <v>0</v>
      </c>
      <c r="AI33" s="71">
        <f t="shared" si="18"/>
        <v>0</v>
      </c>
      <c r="AJ33" s="71">
        <f t="shared" si="19"/>
        <v>0</v>
      </c>
      <c r="AK33" s="72">
        <f t="shared" si="20"/>
        <v>0</v>
      </c>
    </row>
    <row r="34" spans="6:37" ht="20.100000000000001" customHeight="1" x14ac:dyDescent="0.25">
      <c r="F34" s="3">
        <f>IFERROR(IF($C$4=3,INDEX(DALLY!$N$14:$KZ$44,$M34,MATCH($AI$7,DALLY!$N$10:$KZ$10,0)+U$3),0),0)</f>
        <v>0</v>
      </c>
      <c r="G34" s="3">
        <f>IFERROR(IF($C$4=3,INDEX(DALLY!$N$14:$KZ$44,$M34,MATCH($AI$7,DALLY!$N$10:$KZ$10,0)+V$3),0),0)</f>
        <v>0</v>
      </c>
      <c r="H34" s="3">
        <f t="shared" si="3"/>
        <v>0</v>
      </c>
      <c r="I34" s="3">
        <f t="shared" si="4"/>
        <v>0</v>
      </c>
      <c r="J34" s="3" t="str">
        <f>IF($C$4=3,(IF(L34=0,(IF(N34&gt;=1,INDEX(DALLY!$M$14:$KZ$44,M34,MATCH($AI$7,DALLY!$L$10:$KZ$10,0)+3),"")),"")),"")</f>
        <v/>
      </c>
      <c r="K34" s="53">
        <f>IF($C$4=3,INDEX(AWAKASH!$F$10:$FS$40,$M34,MATCH($AI$7,AWAKASH!$F$6:$FS$6,0)+1),0)</f>
        <v>0</v>
      </c>
      <c r="L34" s="3">
        <f t="shared" si="5"/>
        <v>0</v>
      </c>
      <c r="M34" s="3">
        <v>23</v>
      </c>
      <c r="N34" s="3">
        <f t="shared" si="6"/>
        <v>0</v>
      </c>
      <c r="O34" s="61">
        <f t="shared" si="7"/>
        <v>0</v>
      </c>
      <c r="P34" s="62" t="str">
        <f t="shared" si="8"/>
        <v/>
      </c>
      <c r="Q34" s="962" t="str">
        <f t="shared" si="9"/>
        <v/>
      </c>
      <c r="R34" s="963"/>
      <c r="S34" s="63">
        <f>IFERROR(IF($C$4=3,INDEX(DALLY!$N$14:$KZ$44,$M34,MATCH($AI$7,DALLY!$N$10:$KZ$10,0)+S$3),0),0)</f>
        <v>0</v>
      </c>
      <c r="T34" s="64">
        <f>IFERROR(IF($C$4=3,INDEX(DALLY!$N$14:$KZ$44,$M34,MATCH($AI$7,DALLY!$N$10:$KZ$10,0)+T$3),0),0)</f>
        <v>0</v>
      </c>
      <c r="U34" s="65">
        <f t="shared" si="10"/>
        <v>0</v>
      </c>
      <c r="V34" s="65">
        <f t="shared" si="11"/>
        <v>0</v>
      </c>
      <c r="W34" s="66">
        <f t="shared" si="12"/>
        <v>0</v>
      </c>
      <c r="X34" s="66">
        <f t="shared" si="13"/>
        <v>0</v>
      </c>
      <c r="Y34" s="66">
        <f t="shared" si="14"/>
        <v>0</v>
      </c>
      <c r="Z34" s="65">
        <f t="shared" si="15"/>
        <v>0</v>
      </c>
      <c r="AA34" s="65">
        <f t="shared" si="15"/>
        <v>0</v>
      </c>
      <c r="AB34" s="67">
        <f>IFERROR(IF($C$4=3,INDEX(DALLY!$N$14:$KZ$44,$M34,MATCH($AI$7,DALLY!$N$10:$KZ$10,0)+AB$3),0),0)</f>
        <v>0</v>
      </c>
      <c r="AC34" s="68">
        <f t="shared" si="16"/>
        <v>0</v>
      </c>
      <c r="AD34" s="69">
        <f>IFERROR(IF($C$4=3,(IF($F$3=2,(IF(H34=2,INDEX(DALLY!$N$14:$KZ$44,$M34,MATCH($AI$7,DALLY!$N$10:$KZ$10,0)+AD$3),0)),0)),0),0)</f>
        <v>0</v>
      </c>
      <c r="AE34" s="70">
        <f>IFERROR(IF($C$4=3,(IF($F$3=2,INDEX(DALLY!$N$14:$KZ$44,$M34,MATCH($AI$7,DALLY!$N$10:$KZ$10,0)+AE$3),0)),0),0)</f>
        <v>0</v>
      </c>
      <c r="AF34" s="70">
        <f>IFERROR(IF($C$4=3,(IF($F$3=2,INDEX(DALLY!$N$14:$KZ$44,$M34,MATCH($AI$7,DALLY!$N$10:$KZ$10,0)+AF$3),0)),0),0)</f>
        <v>0</v>
      </c>
      <c r="AG34" s="70">
        <f>IFERROR(IF($C$4=3,(IF($F$3=2,INDEX(DALLY!$N$14:$KZ$44,$M34,MATCH($AI$7,DALLY!$N$10:$KZ$10,0)+AG$3),0)),0),0)</f>
        <v>0</v>
      </c>
      <c r="AH34" s="71">
        <f t="shared" si="17"/>
        <v>0</v>
      </c>
      <c r="AI34" s="71">
        <f t="shared" si="18"/>
        <v>0</v>
      </c>
      <c r="AJ34" s="71">
        <f t="shared" si="19"/>
        <v>0</v>
      </c>
      <c r="AK34" s="72">
        <f t="shared" si="20"/>
        <v>0</v>
      </c>
    </row>
    <row r="35" spans="6:37" ht="20.100000000000001" customHeight="1" x14ac:dyDescent="0.25">
      <c r="F35" s="3">
        <f>IFERROR(IF($C$4=3,INDEX(DALLY!$N$14:$KZ$44,$M35,MATCH($AI$7,DALLY!$N$10:$KZ$10,0)+U$3),0),0)</f>
        <v>0</v>
      </c>
      <c r="G35" s="3">
        <f>IFERROR(IF($C$4=3,INDEX(DALLY!$N$14:$KZ$44,$M35,MATCH($AI$7,DALLY!$N$10:$KZ$10,0)+V$3),0),0)</f>
        <v>0</v>
      </c>
      <c r="H35" s="3">
        <f t="shared" si="3"/>
        <v>0</v>
      </c>
      <c r="I35" s="3">
        <f t="shared" si="4"/>
        <v>0</v>
      </c>
      <c r="J35" s="3" t="str">
        <f>IF($C$4=3,(IF(L35=0,(IF(N35&gt;=1,INDEX(DALLY!$M$14:$KZ$44,M35,MATCH($AI$7,DALLY!$L$10:$KZ$10,0)+3),"")),"")),"")</f>
        <v/>
      </c>
      <c r="K35" s="53">
        <f>IF($C$4=3,INDEX(AWAKASH!$F$10:$FS$40,$M35,MATCH($AI$7,AWAKASH!$F$6:$FS$6,0)+1),0)</f>
        <v>0</v>
      </c>
      <c r="L35" s="3">
        <f t="shared" si="5"/>
        <v>0</v>
      </c>
      <c r="M35" s="3">
        <v>24</v>
      </c>
      <c r="N35" s="3">
        <f t="shared" si="6"/>
        <v>0</v>
      </c>
      <c r="O35" s="61">
        <f t="shared" si="7"/>
        <v>0</v>
      </c>
      <c r="P35" s="62" t="str">
        <f t="shared" si="8"/>
        <v/>
      </c>
      <c r="Q35" s="962" t="str">
        <f t="shared" si="9"/>
        <v/>
      </c>
      <c r="R35" s="963"/>
      <c r="S35" s="63">
        <f>IFERROR(IF($C$4=3,INDEX(DALLY!$N$14:$KZ$44,$M35,MATCH($AI$7,DALLY!$N$10:$KZ$10,0)+S$3),0),0)</f>
        <v>0</v>
      </c>
      <c r="T35" s="64">
        <f>IFERROR(IF($C$4=3,INDEX(DALLY!$N$14:$KZ$44,$M35,MATCH($AI$7,DALLY!$N$10:$KZ$10,0)+T$3),0),0)</f>
        <v>0</v>
      </c>
      <c r="U35" s="65">
        <f t="shared" si="10"/>
        <v>0</v>
      </c>
      <c r="V35" s="65">
        <f t="shared" si="11"/>
        <v>0</v>
      </c>
      <c r="W35" s="66">
        <f t="shared" si="12"/>
        <v>0</v>
      </c>
      <c r="X35" s="66">
        <f t="shared" si="13"/>
        <v>0</v>
      </c>
      <c r="Y35" s="66">
        <f t="shared" si="14"/>
        <v>0</v>
      </c>
      <c r="Z35" s="65">
        <f t="shared" si="15"/>
        <v>0</v>
      </c>
      <c r="AA35" s="65">
        <f t="shared" si="15"/>
        <v>0</v>
      </c>
      <c r="AB35" s="67">
        <f>IFERROR(IF($C$4=3,INDEX(DALLY!$N$14:$KZ$44,$M35,MATCH($AI$7,DALLY!$N$10:$KZ$10,0)+AB$3),0),0)</f>
        <v>0</v>
      </c>
      <c r="AC35" s="68">
        <f t="shared" si="16"/>
        <v>0</v>
      </c>
      <c r="AD35" s="69">
        <f>IFERROR(IF($C$4=3,(IF($F$3=2,(IF(H35=2,INDEX(DALLY!$N$14:$KZ$44,$M35,MATCH($AI$7,DALLY!$N$10:$KZ$10,0)+AD$3),0)),0)),0),0)</f>
        <v>0</v>
      </c>
      <c r="AE35" s="70">
        <f>IFERROR(IF($C$4=3,(IF($F$3=2,INDEX(DALLY!$N$14:$KZ$44,$M35,MATCH($AI$7,DALLY!$N$10:$KZ$10,0)+AE$3),0)),0),0)</f>
        <v>0</v>
      </c>
      <c r="AF35" s="70">
        <f>IFERROR(IF($C$4=3,(IF($F$3=2,INDEX(DALLY!$N$14:$KZ$44,$M35,MATCH($AI$7,DALLY!$N$10:$KZ$10,0)+AF$3),0)),0),0)</f>
        <v>0</v>
      </c>
      <c r="AG35" s="70">
        <f>IFERROR(IF($C$4=3,(IF($F$3=2,INDEX(DALLY!$N$14:$KZ$44,$M35,MATCH($AI$7,DALLY!$N$10:$KZ$10,0)+AG$3),0)),0),0)</f>
        <v>0</v>
      </c>
      <c r="AH35" s="71">
        <f t="shared" si="17"/>
        <v>0</v>
      </c>
      <c r="AI35" s="71">
        <f t="shared" si="18"/>
        <v>0</v>
      </c>
      <c r="AJ35" s="71">
        <f t="shared" si="19"/>
        <v>0</v>
      </c>
      <c r="AK35" s="72">
        <f t="shared" si="20"/>
        <v>0</v>
      </c>
    </row>
    <row r="36" spans="6:37" ht="20.100000000000001" customHeight="1" x14ac:dyDescent="0.25">
      <c r="F36" s="3">
        <f>IFERROR(IF($C$4=3,INDEX(DALLY!$N$14:$KZ$44,$M36,MATCH($AI$7,DALLY!$N$10:$KZ$10,0)+U$3),0),0)</f>
        <v>0</v>
      </c>
      <c r="G36" s="3">
        <f>IFERROR(IF($C$4=3,INDEX(DALLY!$N$14:$KZ$44,$M36,MATCH($AI$7,DALLY!$N$10:$KZ$10,0)+V$3),0),0)</f>
        <v>0</v>
      </c>
      <c r="H36" s="3">
        <f t="shared" si="3"/>
        <v>0</v>
      </c>
      <c r="I36" s="3">
        <f t="shared" si="4"/>
        <v>0</v>
      </c>
      <c r="J36" s="3" t="str">
        <f>IF($C$4=3,(IF(L36=0,(IF(N36&gt;=1,INDEX(DALLY!$M$14:$KZ$44,M36,MATCH($AI$7,DALLY!$L$10:$KZ$10,0)+3),"")),"")),"")</f>
        <v/>
      </c>
      <c r="K36" s="53">
        <f>IF($C$4=3,INDEX(AWAKASH!$F$10:$FS$40,$M36,MATCH($AI$7,AWAKASH!$F$6:$FS$6,0)+1),0)</f>
        <v>0</v>
      </c>
      <c r="L36" s="3">
        <f t="shared" si="5"/>
        <v>0</v>
      </c>
      <c r="M36" s="3">
        <v>25</v>
      </c>
      <c r="N36" s="3">
        <f t="shared" si="6"/>
        <v>0</v>
      </c>
      <c r="O36" s="61">
        <f t="shared" si="7"/>
        <v>0</v>
      </c>
      <c r="P36" s="62" t="str">
        <f t="shared" si="8"/>
        <v/>
      </c>
      <c r="Q36" s="962" t="str">
        <f t="shared" si="9"/>
        <v/>
      </c>
      <c r="R36" s="963"/>
      <c r="S36" s="63">
        <f>IFERROR(IF($C$4=3,INDEX(DALLY!$N$14:$KZ$44,$M36,MATCH($AI$7,DALLY!$N$10:$KZ$10,0)+S$3),0),0)</f>
        <v>0</v>
      </c>
      <c r="T36" s="64">
        <f>IFERROR(IF($C$4=3,INDEX(DALLY!$N$14:$KZ$44,$M36,MATCH($AI$7,DALLY!$N$10:$KZ$10,0)+T$3),0),0)</f>
        <v>0</v>
      </c>
      <c r="U36" s="65">
        <f t="shared" si="10"/>
        <v>0</v>
      </c>
      <c r="V36" s="65">
        <f t="shared" si="11"/>
        <v>0</v>
      </c>
      <c r="W36" s="66">
        <f t="shared" si="12"/>
        <v>0</v>
      </c>
      <c r="X36" s="66">
        <f t="shared" si="13"/>
        <v>0</v>
      </c>
      <c r="Y36" s="66">
        <f t="shared" si="14"/>
        <v>0</v>
      </c>
      <c r="Z36" s="65">
        <f t="shared" si="15"/>
        <v>0</v>
      </c>
      <c r="AA36" s="65">
        <f t="shared" si="15"/>
        <v>0</v>
      </c>
      <c r="AB36" s="67">
        <f>IFERROR(IF($C$4=3,INDEX(DALLY!$N$14:$KZ$44,$M36,MATCH($AI$7,DALLY!$N$10:$KZ$10,0)+AB$3),0),0)</f>
        <v>0</v>
      </c>
      <c r="AC36" s="68">
        <f t="shared" si="16"/>
        <v>0</v>
      </c>
      <c r="AD36" s="69">
        <f>IFERROR(IF($C$4=3,(IF($F$3=2,(IF(H36=2,INDEX(DALLY!$N$14:$KZ$44,$M36,MATCH($AI$7,DALLY!$N$10:$KZ$10,0)+AD$3),0)),0)),0),0)</f>
        <v>0</v>
      </c>
      <c r="AE36" s="70">
        <f>IFERROR(IF($C$4=3,(IF($F$3=2,INDEX(DALLY!$N$14:$KZ$44,$M36,MATCH($AI$7,DALLY!$N$10:$KZ$10,0)+AE$3),0)),0),0)</f>
        <v>0</v>
      </c>
      <c r="AF36" s="70">
        <f>IFERROR(IF($C$4=3,(IF($F$3=2,INDEX(DALLY!$N$14:$KZ$44,$M36,MATCH($AI$7,DALLY!$N$10:$KZ$10,0)+AF$3),0)),0),0)</f>
        <v>0</v>
      </c>
      <c r="AG36" s="70">
        <f>IFERROR(IF($C$4=3,(IF($F$3=2,INDEX(DALLY!$N$14:$KZ$44,$M36,MATCH($AI$7,DALLY!$N$10:$KZ$10,0)+AG$3),0)),0),0)</f>
        <v>0</v>
      </c>
      <c r="AH36" s="71">
        <f t="shared" si="17"/>
        <v>0</v>
      </c>
      <c r="AI36" s="71">
        <f t="shared" si="18"/>
        <v>0</v>
      </c>
      <c r="AJ36" s="71">
        <f t="shared" si="19"/>
        <v>0</v>
      </c>
      <c r="AK36" s="72">
        <f t="shared" si="20"/>
        <v>0</v>
      </c>
    </row>
    <row r="37" spans="6:37" ht="20.100000000000001" customHeight="1" x14ac:dyDescent="0.25">
      <c r="F37" s="3">
        <f>IFERROR(IF($C$4=3,INDEX(DALLY!$N$14:$KZ$44,$M37,MATCH($AI$7,DALLY!$N$10:$KZ$10,0)+U$3),0),0)</f>
        <v>0</v>
      </c>
      <c r="G37" s="3">
        <f>IFERROR(IF($C$4=3,INDEX(DALLY!$N$14:$KZ$44,$M37,MATCH($AI$7,DALLY!$N$10:$KZ$10,0)+V$3),0),0)</f>
        <v>0</v>
      </c>
      <c r="H37" s="3">
        <f t="shared" si="3"/>
        <v>0</v>
      </c>
      <c r="I37" s="3">
        <f t="shared" si="4"/>
        <v>0</v>
      </c>
      <c r="J37" s="3" t="str">
        <f>IF($C$4=3,(IF(L37=0,(IF(N37&gt;=1,INDEX(DALLY!$M$14:$KZ$44,M37,MATCH($AI$7,DALLY!$L$10:$KZ$10,0)+3),"")),"")),"")</f>
        <v/>
      </c>
      <c r="K37" s="53">
        <f>IF($C$4=3,INDEX(AWAKASH!$F$10:$FS$40,$M37,MATCH($AI$7,AWAKASH!$F$6:$FS$6,0)+1),0)</f>
        <v>0</v>
      </c>
      <c r="L37" s="3">
        <f t="shared" si="5"/>
        <v>0</v>
      </c>
      <c r="M37" s="3">
        <v>26</v>
      </c>
      <c r="N37" s="3">
        <f t="shared" si="6"/>
        <v>0</v>
      </c>
      <c r="O37" s="61">
        <f t="shared" si="7"/>
        <v>0</v>
      </c>
      <c r="P37" s="62" t="str">
        <f t="shared" si="8"/>
        <v/>
      </c>
      <c r="Q37" s="962" t="str">
        <f t="shared" si="9"/>
        <v/>
      </c>
      <c r="R37" s="963"/>
      <c r="S37" s="63">
        <f>IFERROR(IF($C$4=3,INDEX(DALLY!$N$14:$KZ$44,$M37,MATCH($AI$7,DALLY!$N$10:$KZ$10,0)+S$3),0),0)</f>
        <v>0</v>
      </c>
      <c r="T37" s="64">
        <f>IFERROR(IF($C$4=3,INDEX(DALLY!$N$14:$KZ$44,$M37,MATCH($AI$7,DALLY!$N$10:$KZ$10,0)+T$3),0),0)</f>
        <v>0</v>
      </c>
      <c r="U37" s="65">
        <f t="shared" si="10"/>
        <v>0</v>
      </c>
      <c r="V37" s="65">
        <f t="shared" si="11"/>
        <v>0</v>
      </c>
      <c r="W37" s="66">
        <f t="shared" si="12"/>
        <v>0</v>
      </c>
      <c r="X37" s="66">
        <f t="shared" si="13"/>
        <v>0</v>
      </c>
      <c r="Y37" s="66">
        <f t="shared" si="14"/>
        <v>0</v>
      </c>
      <c r="Z37" s="65">
        <f t="shared" si="15"/>
        <v>0</v>
      </c>
      <c r="AA37" s="65">
        <f t="shared" si="15"/>
        <v>0</v>
      </c>
      <c r="AB37" s="67">
        <f>IFERROR(IF($C$4=3,INDEX(DALLY!$N$14:$KZ$44,$M37,MATCH($AI$7,DALLY!$N$10:$KZ$10,0)+AB$3),0),0)</f>
        <v>0</v>
      </c>
      <c r="AC37" s="68">
        <f t="shared" si="16"/>
        <v>0</v>
      </c>
      <c r="AD37" s="69">
        <f>IFERROR(IF($C$4=3,(IF($F$3=2,(IF(H37=2,INDEX(DALLY!$N$14:$KZ$44,$M37,MATCH($AI$7,DALLY!$N$10:$KZ$10,0)+AD$3),0)),0)),0),0)</f>
        <v>0</v>
      </c>
      <c r="AE37" s="70">
        <f>IFERROR(IF($C$4=3,(IF($F$3=2,INDEX(DALLY!$N$14:$KZ$44,$M37,MATCH($AI$7,DALLY!$N$10:$KZ$10,0)+AE$3),0)),0),0)</f>
        <v>0</v>
      </c>
      <c r="AF37" s="70">
        <f>IFERROR(IF($C$4=3,(IF($F$3=2,INDEX(DALLY!$N$14:$KZ$44,$M37,MATCH($AI$7,DALLY!$N$10:$KZ$10,0)+AF$3),0)),0),0)</f>
        <v>0</v>
      </c>
      <c r="AG37" s="70">
        <f>IFERROR(IF($C$4=3,(IF($F$3=2,INDEX(DALLY!$N$14:$KZ$44,$M37,MATCH($AI$7,DALLY!$N$10:$KZ$10,0)+AG$3),0)),0),0)</f>
        <v>0</v>
      </c>
      <c r="AH37" s="71">
        <f t="shared" si="17"/>
        <v>0</v>
      </c>
      <c r="AI37" s="71">
        <f t="shared" si="18"/>
        <v>0</v>
      </c>
      <c r="AJ37" s="71">
        <f t="shared" si="19"/>
        <v>0</v>
      </c>
      <c r="AK37" s="72">
        <f t="shared" si="20"/>
        <v>0</v>
      </c>
    </row>
    <row r="38" spans="6:37" ht="20.100000000000001" customHeight="1" x14ac:dyDescent="0.25">
      <c r="F38" s="3">
        <f>IFERROR(IF($C$4=3,INDEX(DALLY!$N$14:$KZ$44,$M38,MATCH($AI$7,DALLY!$N$10:$KZ$10,0)+U$3),0),0)</f>
        <v>0</v>
      </c>
      <c r="G38" s="3">
        <f>IFERROR(IF($C$4=3,INDEX(DALLY!$N$14:$KZ$44,$M38,MATCH($AI$7,DALLY!$N$10:$KZ$10,0)+V$3),0),0)</f>
        <v>0</v>
      </c>
      <c r="H38" s="3">
        <f t="shared" si="3"/>
        <v>0</v>
      </c>
      <c r="I38" s="3">
        <f t="shared" si="4"/>
        <v>0</v>
      </c>
      <c r="J38" s="3" t="str">
        <f>IF($C$4=3,(IF(L38=0,(IF(N38&gt;=1,INDEX(DALLY!$M$14:$KZ$44,M38,MATCH($AI$7,DALLY!$L$10:$KZ$10,0)+3),"")),"")),"")</f>
        <v/>
      </c>
      <c r="K38" s="53">
        <f>IF($C$4=3,INDEX(AWAKASH!$F$10:$FS$40,$M38,MATCH($AI$7,AWAKASH!$F$6:$FS$6,0)+1),0)</f>
        <v>0</v>
      </c>
      <c r="L38" s="3">
        <f t="shared" si="5"/>
        <v>0</v>
      </c>
      <c r="M38" s="3">
        <v>27</v>
      </c>
      <c r="N38" s="3">
        <f t="shared" si="6"/>
        <v>0</v>
      </c>
      <c r="O38" s="61">
        <f t="shared" si="7"/>
        <v>0</v>
      </c>
      <c r="P38" s="62" t="str">
        <f t="shared" si="8"/>
        <v/>
      </c>
      <c r="Q38" s="962" t="str">
        <f t="shared" si="9"/>
        <v/>
      </c>
      <c r="R38" s="963"/>
      <c r="S38" s="63">
        <f>IFERROR(IF($C$4=3,INDEX(DALLY!$N$14:$KZ$44,$M38,MATCH($AI$7,DALLY!$N$10:$KZ$10,0)+S$3),0),0)</f>
        <v>0</v>
      </c>
      <c r="T38" s="64">
        <f>IFERROR(IF($C$4=3,INDEX(DALLY!$N$14:$KZ$44,$M38,MATCH($AI$7,DALLY!$N$10:$KZ$10,0)+T$3),0),0)</f>
        <v>0</v>
      </c>
      <c r="U38" s="65">
        <f t="shared" si="10"/>
        <v>0</v>
      </c>
      <c r="V38" s="65">
        <f t="shared" si="11"/>
        <v>0</v>
      </c>
      <c r="W38" s="66">
        <f t="shared" si="12"/>
        <v>0</v>
      </c>
      <c r="X38" s="66">
        <f t="shared" si="13"/>
        <v>0</v>
      </c>
      <c r="Y38" s="66">
        <f t="shared" si="14"/>
        <v>0</v>
      </c>
      <c r="Z38" s="65">
        <f t="shared" si="15"/>
        <v>0</v>
      </c>
      <c r="AA38" s="65">
        <f t="shared" si="15"/>
        <v>0</v>
      </c>
      <c r="AB38" s="67">
        <f>IFERROR(IF($C$4=3,INDEX(DALLY!$N$14:$KZ$44,$M38,MATCH($AI$7,DALLY!$N$10:$KZ$10,0)+AB$3),0),0)</f>
        <v>0</v>
      </c>
      <c r="AC38" s="68">
        <f t="shared" si="16"/>
        <v>0</v>
      </c>
      <c r="AD38" s="69">
        <f>IFERROR(IF($C$4=3,(IF($F$3=2,(IF(H38=2,INDEX(DALLY!$N$14:$KZ$44,$M38,MATCH($AI$7,DALLY!$N$10:$KZ$10,0)+AD$3),0)),0)),0),0)</f>
        <v>0</v>
      </c>
      <c r="AE38" s="70">
        <f>IFERROR(IF($C$4=3,(IF($F$3=2,INDEX(DALLY!$N$14:$KZ$44,$M38,MATCH($AI$7,DALLY!$N$10:$KZ$10,0)+AE$3),0)),0),0)</f>
        <v>0</v>
      </c>
      <c r="AF38" s="70">
        <f>IFERROR(IF($C$4=3,(IF($F$3=2,INDEX(DALLY!$N$14:$KZ$44,$M38,MATCH($AI$7,DALLY!$N$10:$KZ$10,0)+AF$3),0)),0),0)</f>
        <v>0</v>
      </c>
      <c r="AG38" s="70">
        <f>IFERROR(IF($C$4=3,(IF($F$3=2,INDEX(DALLY!$N$14:$KZ$44,$M38,MATCH($AI$7,DALLY!$N$10:$KZ$10,0)+AG$3),0)),0),0)</f>
        <v>0</v>
      </c>
      <c r="AH38" s="71">
        <f t="shared" si="17"/>
        <v>0</v>
      </c>
      <c r="AI38" s="71">
        <f t="shared" si="18"/>
        <v>0</v>
      </c>
      <c r="AJ38" s="71">
        <f t="shared" si="19"/>
        <v>0</v>
      </c>
      <c r="AK38" s="72">
        <f t="shared" si="20"/>
        <v>0</v>
      </c>
    </row>
    <row r="39" spans="6:37" ht="20.100000000000001" customHeight="1" x14ac:dyDescent="0.25">
      <c r="F39" s="3">
        <f>IFERROR(IF($C$4=3,INDEX(DALLY!$N$14:$KZ$44,$M39,MATCH($AI$7,DALLY!$N$10:$KZ$10,0)+U$3),0),0)</f>
        <v>0</v>
      </c>
      <c r="G39" s="3">
        <f>IFERROR(IF($C$4=3,INDEX(DALLY!$N$14:$KZ$44,$M39,MATCH($AI$7,DALLY!$N$10:$KZ$10,0)+V$3),0),0)</f>
        <v>0</v>
      </c>
      <c r="H39" s="3">
        <f t="shared" si="3"/>
        <v>0</v>
      </c>
      <c r="I39" s="3">
        <f t="shared" si="4"/>
        <v>0</v>
      </c>
      <c r="J39" s="3" t="str">
        <f>IF($C$4=3,(IF(L39=0,(IF(N39&gt;=1,INDEX(DALLY!$M$14:$KZ$44,M39,MATCH($AI$7,DALLY!$L$10:$KZ$10,0)+3),"")),"")),"")</f>
        <v/>
      </c>
      <c r="K39" s="53">
        <f>IF($C$4=3,INDEX(AWAKASH!$F$10:$FS$40,$M39,MATCH($AI$7,AWAKASH!$F$6:$FS$6,0)+1),0)</f>
        <v>0</v>
      </c>
      <c r="L39" s="3">
        <f t="shared" si="5"/>
        <v>0</v>
      </c>
      <c r="M39" s="3">
        <v>28</v>
      </c>
      <c r="N39" s="3">
        <f t="shared" si="6"/>
        <v>0</v>
      </c>
      <c r="O39" s="61">
        <f t="shared" si="7"/>
        <v>0</v>
      </c>
      <c r="P39" s="62" t="str">
        <f t="shared" si="8"/>
        <v/>
      </c>
      <c r="Q39" s="962" t="str">
        <f t="shared" si="9"/>
        <v/>
      </c>
      <c r="R39" s="963"/>
      <c r="S39" s="63">
        <f>IFERROR(IF($C$4=3,INDEX(DALLY!$N$14:$KZ$44,$M39,MATCH($AI$7,DALLY!$N$10:$KZ$10,0)+S$3),0),0)</f>
        <v>0</v>
      </c>
      <c r="T39" s="64">
        <f>IFERROR(IF($C$4=3,INDEX(DALLY!$N$14:$KZ$44,$M39,MATCH($AI$7,DALLY!$N$10:$KZ$10,0)+T$3),0),0)</f>
        <v>0</v>
      </c>
      <c r="U39" s="65">
        <f t="shared" si="10"/>
        <v>0</v>
      </c>
      <c r="V39" s="65">
        <f t="shared" si="11"/>
        <v>0</v>
      </c>
      <c r="W39" s="66">
        <f t="shared" si="12"/>
        <v>0</v>
      </c>
      <c r="X39" s="66">
        <f t="shared" si="13"/>
        <v>0</v>
      </c>
      <c r="Y39" s="66">
        <f t="shared" si="14"/>
        <v>0</v>
      </c>
      <c r="Z39" s="65">
        <f t="shared" si="15"/>
        <v>0</v>
      </c>
      <c r="AA39" s="65">
        <f t="shared" si="15"/>
        <v>0</v>
      </c>
      <c r="AB39" s="67">
        <f>IFERROR(IF($C$4=3,INDEX(DALLY!$N$14:$KZ$44,$M39,MATCH($AI$7,DALLY!$N$10:$KZ$10,0)+AB$3),0),0)</f>
        <v>0</v>
      </c>
      <c r="AC39" s="68">
        <f t="shared" si="16"/>
        <v>0</v>
      </c>
      <c r="AD39" s="69">
        <f>IFERROR(IF($C$4=3,(IF($F$3=2,(IF(H39=2,INDEX(DALLY!$N$14:$KZ$44,$M39,MATCH($AI$7,DALLY!$N$10:$KZ$10,0)+AD$3),0)),0)),0),0)</f>
        <v>0</v>
      </c>
      <c r="AE39" s="70">
        <f>IFERROR(IF($C$4=3,(IF($F$3=2,INDEX(DALLY!$N$14:$KZ$44,$M39,MATCH($AI$7,DALLY!$N$10:$KZ$10,0)+AE$3),0)),0),0)</f>
        <v>0</v>
      </c>
      <c r="AF39" s="70">
        <f>IFERROR(IF($C$4=3,(IF($F$3=2,INDEX(DALLY!$N$14:$KZ$44,$M39,MATCH($AI$7,DALLY!$N$10:$KZ$10,0)+AF$3),0)),0),0)</f>
        <v>0</v>
      </c>
      <c r="AG39" s="70">
        <f>IFERROR(IF($C$4=3,(IF($F$3=2,INDEX(DALLY!$N$14:$KZ$44,$M39,MATCH($AI$7,DALLY!$N$10:$KZ$10,0)+AG$3),0)),0),0)</f>
        <v>0</v>
      </c>
      <c r="AH39" s="71">
        <f t="shared" si="17"/>
        <v>0</v>
      </c>
      <c r="AI39" s="71">
        <f t="shared" si="18"/>
        <v>0</v>
      </c>
      <c r="AJ39" s="71">
        <f t="shared" si="19"/>
        <v>0</v>
      </c>
      <c r="AK39" s="72">
        <f t="shared" si="20"/>
        <v>0</v>
      </c>
    </row>
    <row r="40" spans="6:37" ht="20.100000000000001" customHeight="1" x14ac:dyDescent="0.25">
      <c r="F40" s="3">
        <f>IFERROR(IF($C$4=3,INDEX(DALLY!$N$14:$KZ$44,$M40,MATCH($AI$7,DALLY!$N$10:$KZ$10,0)+U$3),0),0)</f>
        <v>0</v>
      </c>
      <c r="G40" s="3">
        <f>IFERROR(IF($C$4=3,INDEX(DALLY!$N$14:$KZ$44,$M40,MATCH($AI$7,DALLY!$N$10:$KZ$10,0)+V$3),0),0)</f>
        <v>0</v>
      </c>
      <c r="H40" s="3">
        <f t="shared" si="3"/>
        <v>0</v>
      </c>
      <c r="I40" s="3">
        <f t="shared" si="4"/>
        <v>0</v>
      </c>
      <c r="J40" s="3" t="str">
        <f>IF($C$4=3,(IF(L40=0,(IF(N40&gt;=1,INDEX(DALLY!$M$14:$KZ$44,M40,MATCH($AI$7,DALLY!$L$10:$KZ$10,0)+3),"")),"")),"")</f>
        <v/>
      </c>
      <c r="K40" s="53">
        <f>IF($C$4=3,INDEX(AWAKASH!$F$10:$FS$40,$M40,MATCH($AI$7,AWAKASH!$F$6:$FS$6,0)+1),0)</f>
        <v>0</v>
      </c>
      <c r="L40" s="3">
        <f t="shared" si="5"/>
        <v>0</v>
      </c>
      <c r="M40" s="3">
        <v>29</v>
      </c>
      <c r="N40" s="3">
        <f t="shared" si="6"/>
        <v>0</v>
      </c>
      <c r="O40" s="61">
        <f t="shared" si="7"/>
        <v>0</v>
      </c>
      <c r="P40" s="62" t="str">
        <f t="shared" si="8"/>
        <v/>
      </c>
      <c r="Q40" s="962" t="str">
        <f t="shared" si="9"/>
        <v/>
      </c>
      <c r="R40" s="963"/>
      <c r="S40" s="63">
        <f>IFERROR(IF($C$4=3,INDEX(DALLY!$N$14:$KZ$44,$M40,MATCH($AI$7,DALLY!$N$10:$KZ$10,0)+S$3),0),0)</f>
        <v>0</v>
      </c>
      <c r="T40" s="64">
        <f>IFERROR(IF($C$4=3,INDEX(DALLY!$N$14:$KZ$44,$M40,MATCH($AI$7,DALLY!$N$10:$KZ$10,0)+T$3),0),0)</f>
        <v>0</v>
      </c>
      <c r="U40" s="65">
        <f t="shared" si="10"/>
        <v>0</v>
      </c>
      <c r="V40" s="65">
        <f t="shared" si="11"/>
        <v>0</v>
      </c>
      <c r="W40" s="66">
        <f t="shared" si="12"/>
        <v>0</v>
      </c>
      <c r="X40" s="66">
        <f t="shared" si="13"/>
        <v>0</v>
      </c>
      <c r="Y40" s="66">
        <f t="shared" si="14"/>
        <v>0</v>
      </c>
      <c r="Z40" s="65">
        <f t="shared" si="15"/>
        <v>0</v>
      </c>
      <c r="AA40" s="65">
        <f t="shared" si="15"/>
        <v>0</v>
      </c>
      <c r="AB40" s="67">
        <f>IFERROR(IF($C$4=3,INDEX(DALLY!$N$14:$KZ$44,$M40,MATCH($AI$7,DALLY!$N$10:$KZ$10,0)+AB$3),0),0)</f>
        <v>0</v>
      </c>
      <c r="AC40" s="68">
        <f t="shared" si="16"/>
        <v>0</v>
      </c>
      <c r="AD40" s="69">
        <f>IFERROR(IF($C$4=3,(IF($F$3=2,(IF(H40=2,INDEX(DALLY!$N$14:$KZ$44,$M40,MATCH($AI$7,DALLY!$N$10:$KZ$10,0)+AD$3),0)),0)),0),0)</f>
        <v>0</v>
      </c>
      <c r="AE40" s="70">
        <f>IFERROR(IF($C$4=3,(IF($F$3=2,INDEX(DALLY!$N$14:$KZ$44,$M40,MATCH($AI$7,DALLY!$N$10:$KZ$10,0)+AE$3),0)),0),0)</f>
        <v>0</v>
      </c>
      <c r="AF40" s="70">
        <f>IFERROR(IF($C$4=3,(IF($F$3=2,INDEX(DALLY!$N$14:$KZ$44,$M40,MATCH($AI$7,DALLY!$N$10:$KZ$10,0)+AF$3),0)),0),0)</f>
        <v>0</v>
      </c>
      <c r="AG40" s="70">
        <f>IFERROR(IF($C$4=3,(IF($F$3=2,INDEX(DALLY!$N$14:$KZ$44,$M40,MATCH($AI$7,DALLY!$N$10:$KZ$10,0)+AG$3),0)),0),0)</f>
        <v>0</v>
      </c>
      <c r="AH40" s="71">
        <f t="shared" si="17"/>
        <v>0</v>
      </c>
      <c r="AI40" s="71">
        <f t="shared" si="18"/>
        <v>0</v>
      </c>
      <c r="AJ40" s="71">
        <f t="shared" si="19"/>
        <v>0</v>
      </c>
      <c r="AK40" s="72">
        <f t="shared" si="20"/>
        <v>0</v>
      </c>
    </row>
    <row r="41" spans="6:37" ht="20.100000000000001" customHeight="1" x14ac:dyDescent="0.25">
      <c r="F41" s="3">
        <f>IFERROR(IF($C$4=3,INDEX(DALLY!$N$14:$KZ$44,$M41,MATCH($AI$7,DALLY!$N$10:$KZ$10,0)+U$3),0),0)</f>
        <v>0</v>
      </c>
      <c r="G41" s="3">
        <f>IFERROR(IF($C$4=3,INDEX(DALLY!$N$14:$KZ$44,$M41,MATCH($AI$7,DALLY!$N$10:$KZ$10,0)+V$3),0),0)</f>
        <v>0</v>
      </c>
      <c r="H41" s="3">
        <f t="shared" si="3"/>
        <v>0</v>
      </c>
      <c r="I41" s="3">
        <f t="shared" si="4"/>
        <v>0</v>
      </c>
      <c r="J41" s="3" t="str">
        <f>IF($C$4=3,(IF(L41=0,(IF(N41&gt;=1,INDEX(DALLY!$M$14:$KZ$44,M41,MATCH($AI$7,DALLY!$L$10:$KZ$10,0)+3),"")),"")),"")</f>
        <v/>
      </c>
      <c r="K41" s="53">
        <f>IF($C$4=3,INDEX(AWAKASH!$F$10:$FS$40,$M41,MATCH($AI$7,AWAKASH!$F$6:$FS$6,0)+1),0)</f>
        <v>0</v>
      </c>
      <c r="L41" s="3">
        <f t="shared" si="5"/>
        <v>0</v>
      </c>
      <c r="M41" s="3">
        <v>30</v>
      </c>
      <c r="N41" s="3">
        <f t="shared" si="6"/>
        <v>0</v>
      </c>
      <c r="O41" s="61">
        <f t="shared" si="7"/>
        <v>0</v>
      </c>
      <c r="P41" s="62" t="str">
        <f t="shared" si="8"/>
        <v/>
      </c>
      <c r="Q41" s="962" t="str">
        <f t="shared" si="9"/>
        <v/>
      </c>
      <c r="R41" s="963"/>
      <c r="S41" s="63">
        <f>IFERROR(IF($C$4=3,INDEX(DALLY!$N$14:$KZ$44,$M41,MATCH($AI$7,DALLY!$N$10:$KZ$10,0)+S$3),0),0)</f>
        <v>0</v>
      </c>
      <c r="T41" s="64">
        <f>IFERROR(IF($C$4=3,INDEX(DALLY!$N$14:$KZ$44,$M41,MATCH($AI$7,DALLY!$N$10:$KZ$10,0)+T$3),0),0)</f>
        <v>0</v>
      </c>
      <c r="U41" s="65">
        <f t="shared" si="10"/>
        <v>0</v>
      </c>
      <c r="V41" s="65">
        <f t="shared" si="11"/>
        <v>0</v>
      </c>
      <c r="W41" s="66">
        <f t="shared" si="12"/>
        <v>0</v>
      </c>
      <c r="X41" s="66">
        <f t="shared" si="13"/>
        <v>0</v>
      </c>
      <c r="Y41" s="66">
        <f t="shared" si="14"/>
        <v>0</v>
      </c>
      <c r="Z41" s="65">
        <f t="shared" si="15"/>
        <v>0</v>
      </c>
      <c r="AA41" s="65">
        <f t="shared" si="15"/>
        <v>0</v>
      </c>
      <c r="AB41" s="67">
        <f>IFERROR(IF($C$4=3,INDEX(DALLY!$N$14:$KZ$44,$M41,MATCH($AI$7,DALLY!$N$10:$KZ$10,0)+AB$3),0),0)</f>
        <v>0</v>
      </c>
      <c r="AC41" s="68">
        <f t="shared" si="16"/>
        <v>0</v>
      </c>
      <c r="AD41" s="69">
        <f>IFERROR(IF($C$4=3,(IF($F$3=2,(IF(H41=2,INDEX(DALLY!$N$14:$KZ$44,$M41,MATCH($AI$7,DALLY!$N$10:$KZ$10,0)+AD$3),0)),0)),0),0)</f>
        <v>0</v>
      </c>
      <c r="AE41" s="70">
        <f>IFERROR(IF($C$4=3,(IF($F$3=2,INDEX(DALLY!$N$14:$KZ$44,$M41,MATCH($AI$7,DALLY!$N$10:$KZ$10,0)+AE$3),0)),0),0)</f>
        <v>0</v>
      </c>
      <c r="AF41" s="70">
        <f>IFERROR(IF($C$4=3,(IF($F$3=2,INDEX(DALLY!$N$14:$KZ$44,$M41,MATCH($AI$7,DALLY!$N$10:$KZ$10,0)+AF$3),0)),0),0)</f>
        <v>0</v>
      </c>
      <c r="AG41" s="70">
        <f>IFERROR(IF($C$4=3,(IF($F$3=2,INDEX(DALLY!$N$14:$KZ$44,$M41,MATCH($AI$7,DALLY!$N$10:$KZ$10,0)+AG$3),0)),0),0)</f>
        <v>0</v>
      </c>
      <c r="AH41" s="71">
        <f t="shared" si="17"/>
        <v>0</v>
      </c>
      <c r="AI41" s="71">
        <f t="shared" si="18"/>
        <v>0</v>
      </c>
      <c r="AJ41" s="71">
        <f t="shared" si="19"/>
        <v>0</v>
      </c>
      <c r="AK41" s="72">
        <f t="shared" si="20"/>
        <v>0</v>
      </c>
    </row>
    <row r="42" spans="6:37" ht="20.100000000000001" customHeight="1" x14ac:dyDescent="0.25">
      <c r="F42" s="3">
        <f>IFERROR(IF($C$4=3,INDEX(DALLY!$N$14:$KZ$44,$M42,MATCH($AI$7,DALLY!$N$10:$KZ$10,0)+U$3),0),0)</f>
        <v>0</v>
      </c>
      <c r="G42" s="3">
        <f>IFERROR(IF($C$4=3,INDEX(DALLY!$N$14:$KZ$44,$M42,MATCH($AI$7,DALLY!$N$10:$KZ$10,0)+V$3),0),0)</f>
        <v>0</v>
      </c>
      <c r="H42" s="3">
        <f t="shared" si="3"/>
        <v>0</v>
      </c>
      <c r="I42" s="3">
        <f t="shared" si="4"/>
        <v>0</v>
      </c>
      <c r="J42" s="3" t="str">
        <f>IF($C$4=3,(IF(L42=0,(IF(N42&gt;=1,INDEX(DALLY!$M$14:$KZ$44,M42,MATCH($AI$7,DALLY!$L$10:$KZ$10,0)+3),"")),"")),"")</f>
        <v/>
      </c>
      <c r="K42" s="53">
        <f>IF($C$4=3,INDEX(AWAKASH!$F$10:$FS$40,$M42,MATCH($AI$7,AWAKASH!$F$6:$FS$6,0)+1),0)</f>
        <v>0</v>
      </c>
      <c r="L42" s="3">
        <f t="shared" si="5"/>
        <v>0</v>
      </c>
      <c r="M42" s="3">
        <v>31</v>
      </c>
      <c r="N42" s="3">
        <f t="shared" si="6"/>
        <v>0</v>
      </c>
      <c r="O42" s="61">
        <f t="shared" si="7"/>
        <v>0</v>
      </c>
      <c r="P42" s="62" t="str">
        <f t="shared" si="8"/>
        <v/>
      </c>
      <c r="Q42" s="962" t="str">
        <f t="shared" si="9"/>
        <v/>
      </c>
      <c r="R42" s="963"/>
      <c r="S42" s="63">
        <f>IFERROR(IF($C$4=3,INDEX(DALLY!$N$14:$KZ$44,$M42,MATCH($AI$7,DALLY!$N$10:$KZ$10,0)+S$3),0),0)</f>
        <v>0</v>
      </c>
      <c r="T42" s="64">
        <f>IFERROR(IF($C$4=3,INDEX(DALLY!$N$14:$KZ$44,$M42,MATCH($AI$7,DALLY!$N$10:$KZ$10,0)+T$3),0),0)</f>
        <v>0</v>
      </c>
      <c r="U42" s="65">
        <f t="shared" si="10"/>
        <v>0</v>
      </c>
      <c r="V42" s="65">
        <f t="shared" si="11"/>
        <v>0</v>
      </c>
      <c r="W42" s="66">
        <f t="shared" si="12"/>
        <v>0</v>
      </c>
      <c r="X42" s="66">
        <f t="shared" si="13"/>
        <v>0</v>
      </c>
      <c r="Y42" s="66">
        <f t="shared" si="14"/>
        <v>0</v>
      </c>
      <c r="Z42" s="65">
        <f t="shared" si="15"/>
        <v>0</v>
      </c>
      <c r="AA42" s="65">
        <f t="shared" si="15"/>
        <v>0</v>
      </c>
      <c r="AB42" s="67">
        <f>IFERROR(IF($C$4=3,INDEX(DALLY!$N$14:$KZ$44,$M42,MATCH($AI$7,DALLY!$N$10:$KZ$10,0)+AB$3),0),0)</f>
        <v>0</v>
      </c>
      <c r="AC42" s="68">
        <f t="shared" si="16"/>
        <v>0</v>
      </c>
      <c r="AD42" s="69">
        <f>IFERROR(IF($C$4=3,(IF($F$3=2,(IF(H42=2,INDEX(DALLY!$N$14:$KZ$44,$M42,MATCH($AI$7,DALLY!$N$10:$KZ$10,0)+AD$3),0)),0)),0),0)</f>
        <v>0</v>
      </c>
      <c r="AE42" s="70">
        <f>IFERROR(IF($C$4=3,(IF($F$3=2,INDEX(DALLY!$N$14:$KZ$44,$M42,MATCH($AI$7,DALLY!$N$10:$KZ$10,0)+AE$3),0)),0),0)</f>
        <v>0</v>
      </c>
      <c r="AF42" s="70">
        <f>IFERROR(IF($C$4=3,(IF($F$3=2,INDEX(DALLY!$N$14:$KZ$44,$M42,MATCH($AI$7,DALLY!$N$10:$KZ$10,0)+AF$3),0)),0),0)</f>
        <v>0</v>
      </c>
      <c r="AG42" s="70">
        <f>IFERROR(IF($C$4=3,(IF($F$3=2,INDEX(DALLY!$N$14:$KZ$44,$M42,MATCH($AI$7,DALLY!$N$10:$KZ$10,0)+AG$3),0)),0),0)</f>
        <v>0</v>
      </c>
      <c r="AH42" s="71">
        <f t="shared" si="17"/>
        <v>0</v>
      </c>
      <c r="AI42" s="71">
        <f t="shared" si="18"/>
        <v>0</v>
      </c>
      <c r="AJ42" s="71">
        <f t="shared" si="19"/>
        <v>0</v>
      </c>
      <c r="AK42" s="72">
        <f t="shared" si="20"/>
        <v>0</v>
      </c>
    </row>
    <row r="43" spans="6:37" ht="20.100000000000001" customHeight="1" x14ac:dyDescent="0.25">
      <c r="O43" s="1009" t="s">
        <v>250</v>
      </c>
      <c r="P43" s="1009"/>
      <c r="Q43" s="1009"/>
      <c r="R43" s="1009"/>
      <c r="S43" s="73">
        <f>LARGE($S$12:$S$42,1)</f>
        <v>0</v>
      </c>
      <c r="T43" s="74">
        <f>SUM(T12:T42)</f>
        <v>0</v>
      </c>
      <c r="U43" s="75">
        <f t="shared" ref="U43:AK43" si="21">SUM(U12:U42)</f>
        <v>0</v>
      </c>
      <c r="V43" s="75">
        <f t="shared" si="21"/>
        <v>0</v>
      </c>
      <c r="W43" s="76">
        <f t="shared" si="21"/>
        <v>0</v>
      </c>
      <c r="X43" s="76">
        <f t="shared" si="21"/>
        <v>0</v>
      </c>
      <c r="Y43" s="76">
        <f t="shared" si="21"/>
        <v>0</v>
      </c>
      <c r="Z43" s="75">
        <f t="shared" si="21"/>
        <v>0</v>
      </c>
      <c r="AA43" s="75">
        <f t="shared" si="21"/>
        <v>0</v>
      </c>
      <c r="AB43" s="77">
        <f t="shared" si="21"/>
        <v>0</v>
      </c>
      <c r="AC43" s="78">
        <f t="shared" si="21"/>
        <v>0</v>
      </c>
      <c r="AD43" s="79">
        <f t="shared" si="21"/>
        <v>0</v>
      </c>
      <c r="AE43" s="80">
        <f t="shared" si="21"/>
        <v>0</v>
      </c>
      <c r="AF43" s="80">
        <f t="shared" si="21"/>
        <v>0</v>
      </c>
      <c r="AG43" s="80">
        <f t="shared" si="21"/>
        <v>0</v>
      </c>
      <c r="AH43" s="81">
        <f t="shared" si="21"/>
        <v>0</v>
      </c>
      <c r="AI43" s="81">
        <f t="shared" si="21"/>
        <v>0</v>
      </c>
      <c r="AJ43" s="81">
        <f t="shared" si="21"/>
        <v>0</v>
      </c>
      <c r="AK43" s="81">
        <f t="shared" si="21"/>
        <v>0</v>
      </c>
    </row>
  </sheetData>
  <sheetProtection password="A6BB" sheet="1" objects="1" scenarios="1"/>
  <mergeCells count="60">
    <mergeCell ref="O43:R43"/>
    <mergeCell ref="Q12:R12"/>
    <mergeCell ref="S7:T7"/>
    <mergeCell ref="S8:T8"/>
    <mergeCell ref="Q13:R13"/>
    <mergeCell ref="Q14:R14"/>
    <mergeCell ref="Q15:R15"/>
    <mergeCell ref="Q16:R16"/>
    <mergeCell ref="Q17:R17"/>
    <mergeCell ref="Q18:R18"/>
    <mergeCell ref="Q19:R19"/>
    <mergeCell ref="Q20:R20"/>
    <mergeCell ref="Q21:R21"/>
    <mergeCell ref="Q22:R22"/>
    <mergeCell ref="Q23:R23"/>
    <mergeCell ref="Q24:R24"/>
    <mergeCell ref="O6:Q6"/>
    <mergeCell ref="O7:Q8"/>
    <mergeCell ref="O5:AK5"/>
    <mergeCell ref="AB9:AC9"/>
    <mergeCell ref="AI6:AK6"/>
    <mergeCell ref="AI7:AK8"/>
    <mergeCell ref="R6:W6"/>
    <mergeCell ref="AC7:AD7"/>
    <mergeCell ref="AC6:AH6"/>
    <mergeCell ref="AC8:AD8"/>
    <mergeCell ref="X6:AB8"/>
    <mergeCell ref="AE10:AG10"/>
    <mergeCell ref="AH10:AK10"/>
    <mergeCell ref="Z10:AA10"/>
    <mergeCell ref="O9:O11"/>
    <mergeCell ref="AB10:AB11"/>
    <mergeCell ref="T10:T11"/>
    <mergeCell ref="U10:V10"/>
    <mergeCell ref="W10:Y10"/>
    <mergeCell ref="P9:P11"/>
    <mergeCell ref="AC10:AC11"/>
    <mergeCell ref="AD10:AD11"/>
    <mergeCell ref="AD9:AK9"/>
    <mergeCell ref="S9:S11"/>
    <mergeCell ref="Q9:R11"/>
    <mergeCell ref="T9:AA9"/>
    <mergeCell ref="Q25:R25"/>
    <mergeCell ref="Q26:R26"/>
    <mergeCell ref="Q27:R27"/>
    <mergeCell ref="Q28:R28"/>
    <mergeCell ref="Q29:R29"/>
    <mergeCell ref="Q30:R30"/>
    <mergeCell ref="Q31:R31"/>
    <mergeCell ref="Q32:R32"/>
    <mergeCell ref="Q33:R33"/>
    <mergeCell ref="Q34:R34"/>
    <mergeCell ref="Q40:R40"/>
    <mergeCell ref="Q41:R41"/>
    <mergeCell ref="Q42:R42"/>
    <mergeCell ref="Q35:R35"/>
    <mergeCell ref="Q36:R36"/>
    <mergeCell ref="Q37:R37"/>
    <mergeCell ref="Q38:R38"/>
    <mergeCell ref="Q39:R39"/>
  </mergeCells>
  <conditionalFormatting sqref="O12:AK43">
    <cfRule type="cellIs" dxfId="127" priority="9" operator="equal">
      <formula>0</formula>
    </cfRule>
  </conditionalFormatting>
  <conditionalFormatting sqref="Q12:AK42">
    <cfRule type="expression" dxfId="126" priority="8">
      <formula>$L12=1</formula>
    </cfRule>
  </conditionalFormatting>
  <conditionalFormatting sqref="O12:P42">
    <cfRule type="expression" dxfId="125" priority="7">
      <formula>$L12=1</formula>
    </cfRule>
  </conditionalFormatting>
  <conditionalFormatting sqref="O12:R42">
    <cfRule type="expression" dxfId="124" priority="5">
      <formula>$I12=1</formula>
    </cfRule>
    <cfRule type="expression" dxfId="123" priority="6">
      <formula>$I12=2</formula>
    </cfRule>
  </conditionalFormatting>
  <conditionalFormatting sqref="R6:W8 AC6:AH8 O9:AK43">
    <cfRule type="expression" dxfId="122" priority="4">
      <formula>$C$4&lt;3</formula>
    </cfRule>
  </conditionalFormatting>
  <conditionalFormatting sqref="AI6:AK6">
    <cfRule type="expression" dxfId="121" priority="3">
      <formula>$D$4&lt;2</formula>
    </cfRule>
  </conditionalFormatting>
  <conditionalFormatting sqref="O6:Q8">
    <cfRule type="expression" dxfId="120" priority="2">
      <formula>$C$3=0</formula>
    </cfRule>
  </conditionalFormatting>
  <conditionalFormatting sqref="U7:W8 AF7:AH8">
    <cfRule type="expression" dxfId="119" priority="1">
      <formula>$F$3&lt;2</formula>
    </cfRule>
  </conditionalFormatting>
  <dataValidations count="2">
    <dataValidation type="list" allowBlank="1" showInputMessage="1" showErrorMessage="1" prompt="कक्षा समूह चयन से पहले PROFILE में विद्यालय नाम लिखें" sqref="O7" xr:uid="{00000000-0002-0000-0900-000000000000}">
      <formula1>IF($C$3=1,CLASS)</formula1>
    </dataValidation>
    <dataValidation type="list" allowBlank="1" showInputMessage="1" showErrorMessage="1" prompt="माह चयन से पहले कक्षा समूह चयन करें" sqref="AI7:AK8" xr:uid="{00000000-0002-0000-0900-000001000000}">
      <formula1>IF($L$1=2,MONTH)</formula1>
    </dataValidation>
  </dataValidations>
  <pageMargins left="0" right="0" top="0" bottom="0" header="0" footer="0"/>
  <pageSetup paperSize="9" scale="65"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theme="4" tint="-0.499984740745262"/>
  </sheetPr>
  <dimension ref="A1:BY56"/>
  <sheetViews>
    <sheetView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L8" sqref="L8:M9"/>
    </sheetView>
  </sheetViews>
  <sheetFormatPr defaultRowHeight="25.5" x14ac:dyDescent="0.7"/>
  <cols>
    <col min="1" max="1" width="5.7109375" style="2" customWidth="1"/>
    <col min="2" max="11" width="4.7109375" style="2" customWidth="1"/>
    <col min="12" max="13" width="6.7109375" style="2" customWidth="1"/>
    <col min="14" max="15" width="5.7109375" style="2" customWidth="1"/>
    <col min="16" max="24" width="5.28515625" style="2" customWidth="1"/>
    <col min="25" max="29" width="9.140625" style="2" hidden="1" customWidth="1"/>
    <col min="30" max="50" width="5.7109375" style="2" hidden="1" customWidth="1"/>
    <col min="51" max="77" width="5.7109375" style="3" customWidth="1"/>
    <col min="78" max="16384" width="9.140625" style="2"/>
  </cols>
  <sheetData>
    <row r="1" spans="1:50" ht="17.100000000000001" customHeight="1" x14ac:dyDescent="0.7">
      <c r="A1" s="1074" t="s">
        <v>17</v>
      </c>
      <c r="B1" s="1075"/>
      <c r="C1" s="1075"/>
      <c r="D1" s="1075"/>
      <c r="E1" s="1075"/>
      <c r="F1" s="1075"/>
      <c r="G1" s="1075"/>
      <c r="H1" s="1075"/>
      <c r="I1" s="1075"/>
      <c r="J1" s="1075"/>
      <c r="K1" s="1075"/>
      <c r="L1" s="1075"/>
      <c r="M1" s="1075"/>
      <c r="N1" s="1075"/>
      <c r="O1" s="1075"/>
      <c r="P1" s="1075"/>
      <c r="Q1" s="1075"/>
      <c r="R1" s="1075"/>
      <c r="S1" s="1075"/>
      <c r="T1" s="1075"/>
      <c r="U1" s="1075"/>
      <c r="V1" s="1075"/>
      <c r="W1" s="1075"/>
      <c r="X1" s="1076"/>
      <c r="Y1" s="1">
        <f>IF(AC6=4,VLOOKUP(U3,PROFILE!H4:AF15,25,0),0)</f>
        <v>0</v>
      </c>
      <c r="Z1" s="1"/>
    </row>
    <row r="2" spans="1:50" ht="17.45" customHeight="1" x14ac:dyDescent="0.7">
      <c r="A2" s="1110" t="s">
        <v>33</v>
      </c>
      <c r="B2" s="1111"/>
      <c r="C2" s="1111"/>
      <c r="D2" s="1111"/>
      <c r="E2" s="1112">
        <f>PROFILE!G1</f>
        <v>0</v>
      </c>
      <c r="F2" s="1112"/>
      <c r="G2" s="1112"/>
      <c r="H2" s="1112"/>
      <c r="I2" s="1112"/>
      <c r="J2" s="1112"/>
      <c r="K2" s="1112"/>
      <c r="L2" s="1112"/>
      <c r="M2" s="1112"/>
      <c r="N2" s="1112"/>
      <c r="O2" s="1112"/>
      <c r="P2" s="1112"/>
      <c r="Q2" s="1113"/>
      <c r="R2" s="1110" t="s">
        <v>36</v>
      </c>
      <c r="S2" s="1111"/>
      <c r="T2" s="1111"/>
      <c r="U2" s="1116" t="str">
        <f>IF(LEN(E2)&gt;=3,PROFILE!O1,"")</f>
        <v/>
      </c>
      <c r="V2" s="1116"/>
      <c r="W2" s="1116"/>
      <c r="X2" s="1117"/>
      <c r="Y2" s="4"/>
      <c r="Z2" s="5"/>
      <c r="AA2" s="4"/>
      <c r="AB2" s="4"/>
      <c r="AC2" s="2">
        <f>IF(LEN(E2)&gt;=3,1,0)</f>
        <v>0</v>
      </c>
    </row>
    <row r="3" spans="1:50" ht="17.45" customHeight="1" x14ac:dyDescent="0.7">
      <c r="A3" s="1110" t="s">
        <v>34</v>
      </c>
      <c r="B3" s="1111"/>
      <c r="C3" s="1111"/>
      <c r="D3" s="1111"/>
      <c r="E3" s="1111"/>
      <c r="F3" s="1114" t="str">
        <f>IF(LEN(U2)&gt;=10,PROFILE!Z1,"")</f>
        <v/>
      </c>
      <c r="G3" s="1114"/>
      <c r="H3" s="1114"/>
      <c r="I3" s="1114"/>
      <c r="J3" s="1114"/>
      <c r="K3" s="1114"/>
      <c r="L3" s="1114"/>
      <c r="M3" s="1114"/>
      <c r="N3" s="1114"/>
      <c r="O3" s="1114"/>
      <c r="P3" s="1114"/>
      <c r="Q3" s="1115"/>
      <c r="R3" s="1110" t="s">
        <v>35</v>
      </c>
      <c r="S3" s="1111"/>
      <c r="T3" s="1111"/>
      <c r="U3" s="1118"/>
      <c r="V3" s="1118"/>
      <c r="W3" s="1118"/>
      <c r="X3" s="1119"/>
      <c r="Y3" s="4"/>
      <c r="Z3" s="5"/>
      <c r="AA3" s="4"/>
      <c r="AB3" s="4"/>
      <c r="AC3" s="2">
        <f>IF(LEN(U2)&gt;=10,1,0)</f>
        <v>0</v>
      </c>
    </row>
    <row r="4" spans="1:50" ht="17.45" customHeight="1" x14ac:dyDescent="0.7">
      <c r="A4" s="501" t="s">
        <v>37</v>
      </c>
      <c r="B4" s="1077" t="s">
        <v>0</v>
      </c>
      <c r="C4" s="1077"/>
      <c r="D4" s="1077"/>
      <c r="E4" s="1077"/>
      <c r="F4" s="1077"/>
      <c r="G4" s="1077"/>
      <c r="H4" s="1077"/>
      <c r="I4" s="1077"/>
      <c r="J4" s="1077"/>
      <c r="K4" s="1077"/>
      <c r="L4" s="1077"/>
      <c r="M4" s="1077"/>
      <c r="N4" s="1077"/>
      <c r="O4" s="1077"/>
      <c r="P4" s="1077" t="s">
        <v>23</v>
      </c>
      <c r="Q4" s="1077"/>
      <c r="R4" s="1077"/>
      <c r="S4" s="1077" t="s">
        <v>24</v>
      </c>
      <c r="T4" s="1077"/>
      <c r="U4" s="1077"/>
      <c r="V4" s="1077" t="s">
        <v>1</v>
      </c>
      <c r="W4" s="1077"/>
      <c r="X4" s="1077"/>
      <c r="Y4" s="4"/>
      <c r="Z4" s="5"/>
      <c r="AA4" s="4"/>
      <c r="AB4" s="4"/>
      <c r="AC4" s="2">
        <f>IF(LEN(F3)&gt;=2,1,0)</f>
        <v>0</v>
      </c>
      <c r="AD4" s="287" t="s">
        <v>37</v>
      </c>
      <c r="AE4" s="1067" t="s">
        <v>0</v>
      </c>
      <c r="AF4" s="1068"/>
      <c r="AG4" s="1068"/>
      <c r="AH4" s="1068"/>
      <c r="AI4" s="1068"/>
      <c r="AJ4" s="1068"/>
      <c r="AK4" s="1068"/>
      <c r="AL4" s="1068"/>
      <c r="AM4" s="1068"/>
      <c r="AN4" s="1068"/>
      <c r="AO4" s="1068"/>
      <c r="AP4" s="1068"/>
      <c r="AQ4" s="1068"/>
      <c r="AR4" s="1069"/>
      <c r="AS4" s="1070" t="s">
        <v>23</v>
      </c>
      <c r="AT4" s="1070"/>
      <c r="AU4" s="1070"/>
      <c r="AV4" s="1070" t="s">
        <v>24</v>
      </c>
      <c r="AW4" s="1070"/>
      <c r="AX4" s="1070"/>
    </row>
    <row r="5" spans="1:50" ht="17.45" customHeight="1" x14ac:dyDescent="0.7">
      <c r="A5" s="502">
        <v>1</v>
      </c>
      <c r="B5" s="1095" t="s">
        <v>2</v>
      </c>
      <c r="C5" s="1095"/>
      <c r="D5" s="1095"/>
      <c r="E5" s="1095"/>
      <c r="F5" s="1095"/>
      <c r="G5" s="1095"/>
      <c r="H5" s="1095"/>
      <c r="I5" s="1095"/>
      <c r="J5" s="1095"/>
      <c r="K5" s="1095"/>
      <c r="L5" s="1095"/>
      <c r="M5" s="1095"/>
      <c r="N5" s="1095"/>
      <c r="O5" s="1095"/>
      <c r="P5" s="1078">
        <f>IFERROR(IF($AC$6=4,VLOOKUP($U$3,STUDENT!$T$9:$AO$20,AS5,0),0),0)</f>
        <v>0</v>
      </c>
      <c r="Q5" s="1078"/>
      <c r="R5" s="1078"/>
      <c r="S5" s="1078">
        <f>IFERROR(IF($AC$6=4,VLOOKUP($U$3,STUDENT!$T$9:$AO$20,AV5,0),0),0)</f>
        <v>0</v>
      </c>
      <c r="T5" s="1078"/>
      <c r="U5" s="1078"/>
      <c r="V5" s="1078">
        <f>IF(P5&gt;=S5,P5,IF(P5&lt;S5,S5,0))</f>
        <v>0</v>
      </c>
      <c r="W5" s="1078"/>
      <c r="X5" s="1078"/>
      <c r="Y5" s="4"/>
      <c r="Z5" s="5"/>
      <c r="AA5" s="4"/>
      <c r="AB5" s="4"/>
      <c r="AC5" s="2">
        <f>IF(LEN(U3)&gt;=3,1,0)</f>
        <v>0</v>
      </c>
      <c r="AD5" s="288">
        <v>1</v>
      </c>
      <c r="AE5" s="1071" t="s">
        <v>2</v>
      </c>
      <c r="AF5" s="1072"/>
      <c r="AG5" s="1072"/>
      <c r="AH5" s="1072"/>
      <c r="AI5" s="1072"/>
      <c r="AJ5" s="1072"/>
      <c r="AK5" s="1072"/>
      <c r="AL5" s="1072"/>
      <c r="AM5" s="1072"/>
      <c r="AN5" s="1072"/>
      <c r="AO5" s="1072"/>
      <c r="AP5" s="1072"/>
      <c r="AQ5" s="1072"/>
      <c r="AR5" s="1073"/>
      <c r="AS5" s="6">
        <v>2</v>
      </c>
      <c r="AT5" s="7"/>
      <c r="AU5" s="8"/>
      <c r="AV5" s="6">
        <f>AS5+1</f>
        <v>3</v>
      </c>
      <c r="AW5" s="7"/>
      <c r="AX5" s="8"/>
    </row>
    <row r="6" spans="1:50" ht="17.45" customHeight="1" x14ac:dyDescent="0.7">
      <c r="A6" s="502">
        <v>2</v>
      </c>
      <c r="B6" s="1095" t="s">
        <v>3</v>
      </c>
      <c r="C6" s="1095"/>
      <c r="D6" s="1095"/>
      <c r="E6" s="1095"/>
      <c r="F6" s="1095"/>
      <c r="G6" s="1095"/>
      <c r="H6" s="1095"/>
      <c r="I6" s="1095"/>
      <c r="J6" s="1095"/>
      <c r="K6" s="1095"/>
      <c r="L6" s="1095"/>
      <c r="M6" s="1095"/>
      <c r="N6" s="1095"/>
      <c r="O6" s="1095"/>
      <c r="P6" s="1078">
        <f>IFERROR(IF($AC$6=4,VLOOKUP($U$3,STUDENT!$T$9:$AO$20,AS6,0),0),0)</f>
        <v>0</v>
      </c>
      <c r="Q6" s="1078"/>
      <c r="R6" s="1078"/>
      <c r="S6" s="1078">
        <f>IFERROR(IF($AC$6=4,VLOOKUP($U$3,STUDENT!$T$9:$AO$20,AV6,0),0),0)</f>
        <v>0</v>
      </c>
      <c r="T6" s="1078"/>
      <c r="U6" s="1078"/>
      <c r="V6" s="1078">
        <f>P6+S6</f>
        <v>0</v>
      </c>
      <c r="W6" s="1078"/>
      <c r="X6" s="1078"/>
      <c r="Y6" s="4"/>
      <c r="Z6" s="5"/>
      <c r="AA6" s="4"/>
      <c r="AB6" s="4"/>
      <c r="AC6" s="2">
        <f>SUM(AC2:AC5)</f>
        <v>0</v>
      </c>
      <c r="AD6" s="288">
        <v>2</v>
      </c>
      <c r="AE6" s="1071" t="s">
        <v>3</v>
      </c>
      <c r="AF6" s="1072"/>
      <c r="AG6" s="1072"/>
      <c r="AH6" s="1072"/>
      <c r="AI6" s="1072"/>
      <c r="AJ6" s="1072"/>
      <c r="AK6" s="1072"/>
      <c r="AL6" s="1072"/>
      <c r="AM6" s="1072"/>
      <c r="AN6" s="1072"/>
      <c r="AO6" s="1072"/>
      <c r="AP6" s="1072"/>
      <c r="AQ6" s="1072"/>
      <c r="AR6" s="1073"/>
      <c r="AS6" s="6">
        <v>4</v>
      </c>
      <c r="AT6" s="7"/>
      <c r="AU6" s="8"/>
      <c r="AV6" s="6">
        <f>AS6+1</f>
        <v>5</v>
      </c>
      <c r="AW6" s="7"/>
      <c r="AX6" s="8"/>
    </row>
    <row r="7" spans="1:50" ht="17.45" customHeight="1" x14ac:dyDescent="0.7">
      <c r="A7" s="502">
        <v>3</v>
      </c>
      <c r="B7" s="1095" t="s">
        <v>4</v>
      </c>
      <c r="C7" s="1095"/>
      <c r="D7" s="1095"/>
      <c r="E7" s="1095"/>
      <c r="F7" s="1095"/>
      <c r="G7" s="1095"/>
      <c r="H7" s="1095"/>
      <c r="I7" s="1095"/>
      <c r="J7" s="1095"/>
      <c r="K7" s="1095"/>
      <c r="L7" s="1095"/>
      <c r="M7" s="1095"/>
      <c r="N7" s="1095"/>
      <c r="O7" s="1095"/>
      <c r="P7" s="1078">
        <f>IFERROR(IF($AC$6=4,VLOOKUP($U$3,STUDENT!$T$9:$AO$20,AS7,0),0),0)</f>
        <v>0</v>
      </c>
      <c r="Q7" s="1078"/>
      <c r="R7" s="1078"/>
      <c r="S7" s="1078">
        <f>IFERROR(IF($AC$6=4,VLOOKUP($U$3,STUDENT!$T$9:$AO$20,AV7,0),0),0)</f>
        <v>0</v>
      </c>
      <c r="T7" s="1078"/>
      <c r="U7" s="1078"/>
      <c r="V7" s="1078">
        <f t="shared" ref="V7:V49" si="0">P7+S7</f>
        <v>0</v>
      </c>
      <c r="W7" s="1078"/>
      <c r="X7" s="1078"/>
      <c r="Y7" s="4"/>
      <c r="Z7" s="5"/>
      <c r="AA7" s="4"/>
      <c r="AB7" s="4"/>
      <c r="AD7" s="288">
        <v>3</v>
      </c>
      <c r="AE7" s="1071" t="s">
        <v>4</v>
      </c>
      <c r="AF7" s="1072"/>
      <c r="AG7" s="1072"/>
      <c r="AH7" s="1072"/>
      <c r="AI7" s="1072"/>
      <c r="AJ7" s="1072"/>
      <c r="AK7" s="1072"/>
      <c r="AL7" s="1072"/>
      <c r="AM7" s="1072"/>
      <c r="AN7" s="1072"/>
      <c r="AO7" s="1072"/>
      <c r="AP7" s="1072"/>
      <c r="AQ7" s="1072"/>
      <c r="AR7" s="1073"/>
      <c r="AS7" s="6">
        <v>10</v>
      </c>
      <c r="AT7" s="7"/>
      <c r="AU7" s="8"/>
      <c r="AV7" s="6">
        <f>AS7+1</f>
        <v>11</v>
      </c>
      <c r="AW7" s="7"/>
      <c r="AX7" s="8"/>
    </row>
    <row r="8" spans="1:50" ht="17.45" customHeight="1" x14ac:dyDescent="0.7">
      <c r="A8" s="1079">
        <v>4</v>
      </c>
      <c r="B8" s="1097" t="s">
        <v>19</v>
      </c>
      <c r="C8" s="1097"/>
      <c r="D8" s="1097"/>
      <c r="E8" s="1097"/>
      <c r="F8" s="1097"/>
      <c r="G8" s="1097"/>
      <c r="H8" s="1097"/>
      <c r="I8" s="1097"/>
      <c r="J8" s="1097"/>
      <c r="K8" s="1097"/>
      <c r="L8" s="1086" t="s">
        <v>18</v>
      </c>
      <c r="M8" s="1086"/>
      <c r="N8" s="1087" t="s">
        <v>5</v>
      </c>
      <c r="O8" s="1087"/>
      <c r="P8" s="1088">
        <f>IFERROR(IF($AC$6=4,VLOOKUP($U$3,DATA!$U$8:$BL$19,AS8,0),0),0)</f>
        <v>0</v>
      </c>
      <c r="Q8" s="1088"/>
      <c r="R8" s="1088"/>
      <c r="S8" s="1088">
        <f>IFERROR(IF($AC$6=4,VLOOKUP($U$3,DATA!$U$8:$BL$19,AV8,0),0),0)</f>
        <v>0</v>
      </c>
      <c r="T8" s="1088"/>
      <c r="U8" s="1088"/>
      <c r="V8" s="1096">
        <f t="shared" si="0"/>
        <v>0</v>
      </c>
      <c r="W8" s="1096"/>
      <c r="X8" s="1096"/>
      <c r="Y8" s="4"/>
      <c r="Z8" s="5"/>
      <c r="AA8" s="4"/>
      <c r="AB8" s="4"/>
      <c r="AD8" s="1038">
        <v>4</v>
      </c>
      <c r="AE8" s="1041" t="s">
        <v>19</v>
      </c>
      <c r="AF8" s="1042"/>
      <c r="AG8" s="1042"/>
      <c r="AH8" s="1042"/>
      <c r="AI8" s="1042"/>
      <c r="AJ8" s="1042"/>
      <c r="AK8" s="1042"/>
      <c r="AL8" s="1042"/>
      <c r="AM8" s="1042"/>
      <c r="AN8" s="1043"/>
      <c r="AO8" s="1041" t="s">
        <v>18</v>
      </c>
      <c r="AP8" s="1043"/>
      <c r="AQ8" s="1050" t="s">
        <v>5</v>
      </c>
      <c r="AR8" s="1052"/>
      <c r="AS8" s="9">
        <v>2</v>
      </c>
      <c r="AT8" s="7"/>
      <c r="AU8" s="10"/>
      <c r="AV8" s="9">
        <f>AS8+2</f>
        <v>4</v>
      </c>
      <c r="AW8" s="7"/>
      <c r="AX8" s="10"/>
    </row>
    <row r="9" spans="1:50" ht="17.45" customHeight="1" x14ac:dyDescent="0.7">
      <c r="A9" s="1079"/>
      <c r="B9" s="1097"/>
      <c r="C9" s="1097"/>
      <c r="D9" s="1097"/>
      <c r="E9" s="1097"/>
      <c r="F9" s="1097"/>
      <c r="G9" s="1097"/>
      <c r="H9" s="1097"/>
      <c r="I9" s="1097"/>
      <c r="J9" s="1097"/>
      <c r="K9" s="1097"/>
      <c r="L9" s="1086"/>
      <c r="M9" s="1086"/>
      <c r="N9" s="1087" t="s">
        <v>6</v>
      </c>
      <c r="O9" s="1087"/>
      <c r="P9" s="1088">
        <f>IFERROR(IF($AC$6=4,VLOOKUP($U$3,DATA!$U$8:$BL$19,AS9,0),0),0)</f>
        <v>0</v>
      </c>
      <c r="Q9" s="1088"/>
      <c r="R9" s="1088"/>
      <c r="S9" s="1088">
        <f>IFERROR(IF($AC$6=4,VLOOKUP($U$3,DATA!$U$8:$BL$19,AV9,0),0),0)</f>
        <v>0</v>
      </c>
      <c r="T9" s="1088"/>
      <c r="U9" s="1088"/>
      <c r="V9" s="1096">
        <f t="shared" si="0"/>
        <v>0</v>
      </c>
      <c r="W9" s="1096"/>
      <c r="X9" s="1096"/>
      <c r="Y9" s="4"/>
      <c r="Z9" s="5"/>
      <c r="AA9" s="4"/>
      <c r="AB9" s="4"/>
      <c r="AD9" s="1039"/>
      <c r="AE9" s="1044"/>
      <c r="AF9" s="1045"/>
      <c r="AG9" s="1045"/>
      <c r="AH9" s="1045"/>
      <c r="AI9" s="1045"/>
      <c r="AJ9" s="1045"/>
      <c r="AK9" s="1045"/>
      <c r="AL9" s="1045"/>
      <c r="AM9" s="1045"/>
      <c r="AN9" s="1046"/>
      <c r="AO9" s="1047"/>
      <c r="AP9" s="1049"/>
      <c r="AQ9" s="1050" t="s">
        <v>6</v>
      </c>
      <c r="AR9" s="1052"/>
      <c r="AS9" s="9">
        <f>AS8+1</f>
        <v>3</v>
      </c>
      <c r="AT9" s="7"/>
      <c r="AU9" s="10"/>
      <c r="AV9" s="9">
        <f>AS9+2</f>
        <v>5</v>
      </c>
      <c r="AW9" s="7"/>
      <c r="AX9" s="10"/>
    </row>
    <row r="10" spans="1:50" ht="17.45" customHeight="1" x14ac:dyDescent="0.7">
      <c r="A10" s="1079"/>
      <c r="B10" s="1097"/>
      <c r="C10" s="1097"/>
      <c r="D10" s="1097"/>
      <c r="E10" s="1097"/>
      <c r="F10" s="1097"/>
      <c r="G10" s="1097"/>
      <c r="H10" s="1097"/>
      <c r="I10" s="1097"/>
      <c r="J10" s="1097"/>
      <c r="K10" s="1097"/>
      <c r="L10" s="1086" t="s">
        <v>20</v>
      </c>
      <c r="M10" s="1086"/>
      <c r="N10" s="1087" t="s">
        <v>7</v>
      </c>
      <c r="O10" s="1087"/>
      <c r="P10" s="1088">
        <f>IFERROR(IF($AC$6=4,VLOOKUP($U$3,DATA!$U$8:$BL$19,AS10,0),0),0)</f>
        <v>0</v>
      </c>
      <c r="Q10" s="1088"/>
      <c r="R10" s="1088"/>
      <c r="S10" s="1088">
        <f>IFERROR(IF($AC$6=4,VLOOKUP($U$3,DATA!$U$8:$BL$19,AV10,0),0),0)</f>
        <v>0</v>
      </c>
      <c r="T10" s="1088"/>
      <c r="U10" s="1088"/>
      <c r="V10" s="1096">
        <f t="shared" si="0"/>
        <v>0</v>
      </c>
      <c r="W10" s="1096"/>
      <c r="X10" s="1096"/>
      <c r="Y10" s="4"/>
      <c r="Z10" s="5"/>
      <c r="AA10" s="4"/>
      <c r="AB10" s="4"/>
      <c r="AD10" s="1039"/>
      <c r="AE10" s="1044"/>
      <c r="AF10" s="1045"/>
      <c r="AG10" s="1045"/>
      <c r="AH10" s="1045"/>
      <c r="AI10" s="1045"/>
      <c r="AJ10" s="1045"/>
      <c r="AK10" s="1045"/>
      <c r="AL10" s="1045"/>
      <c r="AM10" s="1045"/>
      <c r="AN10" s="1046"/>
      <c r="AO10" s="1041" t="s">
        <v>20</v>
      </c>
      <c r="AP10" s="1043"/>
      <c r="AQ10" s="1050" t="s">
        <v>7</v>
      </c>
      <c r="AR10" s="1052"/>
      <c r="AS10" s="9">
        <v>21</v>
      </c>
      <c r="AT10" s="7"/>
      <c r="AU10" s="10"/>
      <c r="AV10" s="9">
        <f>AS10+3</f>
        <v>24</v>
      </c>
      <c r="AW10" s="7"/>
      <c r="AX10" s="10"/>
    </row>
    <row r="11" spans="1:50" ht="17.45" customHeight="1" x14ac:dyDescent="0.7">
      <c r="A11" s="1079"/>
      <c r="B11" s="1097"/>
      <c r="C11" s="1097"/>
      <c r="D11" s="1097"/>
      <c r="E11" s="1097"/>
      <c r="F11" s="1097"/>
      <c r="G11" s="1097"/>
      <c r="H11" s="1097"/>
      <c r="I11" s="1097"/>
      <c r="J11" s="1097"/>
      <c r="K11" s="1097"/>
      <c r="L11" s="1086"/>
      <c r="M11" s="1086"/>
      <c r="N11" s="1087" t="s">
        <v>8</v>
      </c>
      <c r="O11" s="1087"/>
      <c r="P11" s="1088">
        <f>IFERROR(IF($AC$6=4,VLOOKUP($U$3,DATA!$U$8:$BL$19,AS11,0),0),0)</f>
        <v>0</v>
      </c>
      <c r="Q11" s="1088"/>
      <c r="R11" s="1088"/>
      <c r="S11" s="1088">
        <f>IFERROR(IF($AC$6=4,VLOOKUP($U$3,DATA!$U$8:$BL$19,AV11,0),0),0)</f>
        <v>0</v>
      </c>
      <c r="T11" s="1088"/>
      <c r="U11" s="1088"/>
      <c r="V11" s="1096">
        <f t="shared" si="0"/>
        <v>0</v>
      </c>
      <c r="W11" s="1096"/>
      <c r="X11" s="1096"/>
      <c r="Y11" s="4"/>
      <c r="Z11" s="5"/>
      <c r="AA11" s="4"/>
      <c r="AB11" s="4"/>
      <c r="AD11" s="1039"/>
      <c r="AE11" s="1044"/>
      <c r="AF11" s="1045"/>
      <c r="AG11" s="1045"/>
      <c r="AH11" s="1045"/>
      <c r="AI11" s="1045"/>
      <c r="AJ11" s="1045"/>
      <c r="AK11" s="1045"/>
      <c r="AL11" s="1045"/>
      <c r="AM11" s="1045"/>
      <c r="AN11" s="1046"/>
      <c r="AO11" s="1044"/>
      <c r="AP11" s="1046"/>
      <c r="AQ11" s="1050" t="s">
        <v>8</v>
      </c>
      <c r="AR11" s="1052"/>
      <c r="AS11" s="9">
        <f t="shared" ref="AS11:AS12" si="1">AS10+1</f>
        <v>22</v>
      </c>
      <c r="AT11" s="7"/>
      <c r="AU11" s="10"/>
      <c r="AV11" s="9">
        <f t="shared" ref="AV11:AV12" si="2">AS11+3</f>
        <v>25</v>
      </c>
      <c r="AW11" s="7"/>
      <c r="AX11" s="10"/>
    </row>
    <row r="12" spans="1:50" ht="17.45" customHeight="1" x14ac:dyDescent="0.7">
      <c r="A12" s="1079"/>
      <c r="B12" s="1097"/>
      <c r="C12" s="1097"/>
      <c r="D12" s="1097"/>
      <c r="E12" s="1097"/>
      <c r="F12" s="1097"/>
      <c r="G12" s="1097"/>
      <c r="H12" s="1097"/>
      <c r="I12" s="1097"/>
      <c r="J12" s="1097"/>
      <c r="K12" s="1097"/>
      <c r="L12" s="1086"/>
      <c r="M12" s="1086"/>
      <c r="N12" s="1087" t="s">
        <v>9</v>
      </c>
      <c r="O12" s="1087"/>
      <c r="P12" s="1088">
        <f>IFERROR(IF($AC$6=4,VLOOKUP($U$3,DATA!$U$8:$BL$19,AS12,0),0),0)</f>
        <v>0</v>
      </c>
      <c r="Q12" s="1088"/>
      <c r="R12" s="1088"/>
      <c r="S12" s="1088">
        <f>IFERROR(IF($AC$6=4,VLOOKUP($U$3,DATA!$U$8:$BL$19,AV12,0),0),0)</f>
        <v>0</v>
      </c>
      <c r="T12" s="1088"/>
      <c r="U12" s="1088"/>
      <c r="V12" s="1096">
        <f t="shared" si="0"/>
        <v>0</v>
      </c>
      <c r="W12" s="1096"/>
      <c r="X12" s="1096"/>
      <c r="Y12" s="4"/>
      <c r="Z12" s="5"/>
      <c r="AA12" s="4"/>
      <c r="AB12" s="4"/>
      <c r="AD12" s="1040"/>
      <c r="AE12" s="1047"/>
      <c r="AF12" s="1048"/>
      <c r="AG12" s="1048"/>
      <c r="AH12" s="1048"/>
      <c r="AI12" s="1048"/>
      <c r="AJ12" s="1048"/>
      <c r="AK12" s="1048"/>
      <c r="AL12" s="1048"/>
      <c r="AM12" s="1048"/>
      <c r="AN12" s="1049"/>
      <c r="AO12" s="1047"/>
      <c r="AP12" s="1049"/>
      <c r="AQ12" s="1050" t="s">
        <v>9</v>
      </c>
      <c r="AR12" s="1052"/>
      <c r="AS12" s="9">
        <f t="shared" si="1"/>
        <v>23</v>
      </c>
      <c r="AT12" s="7"/>
      <c r="AU12" s="10"/>
      <c r="AV12" s="9">
        <f t="shared" si="2"/>
        <v>26</v>
      </c>
      <c r="AW12" s="7"/>
      <c r="AX12" s="10"/>
    </row>
    <row r="13" spans="1:50" ht="17.45" customHeight="1" x14ac:dyDescent="0.7">
      <c r="A13" s="1079">
        <v>5</v>
      </c>
      <c r="B13" s="1097" t="s">
        <v>21</v>
      </c>
      <c r="C13" s="1097"/>
      <c r="D13" s="1097"/>
      <c r="E13" s="1097"/>
      <c r="F13" s="1097"/>
      <c r="G13" s="1097"/>
      <c r="H13" s="1097"/>
      <c r="I13" s="1097"/>
      <c r="J13" s="1097"/>
      <c r="K13" s="1097"/>
      <c r="L13" s="1090" t="s">
        <v>18</v>
      </c>
      <c r="M13" s="1090"/>
      <c r="N13" s="1091" t="s">
        <v>5</v>
      </c>
      <c r="O13" s="1091"/>
      <c r="P13" s="1089">
        <f>IFERROR(IF($AC$6=4,VLOOKUP($U$3,DATA!$U$8:$BL$19,AS13,0),0),0)</f>
        <v>0</v>
      </c>
      <c r="Q13" s="1089"/>
      <c r="R13" s="1089"/>
      <c r="S13" s="1089">
        <f>IFERROR(IF($AC$6=4,VLOOKUP($U$3,DATA!$U$8:$BL$19,AV13,0),0),0)</f>
        <v>0</v>
      </c>
      <c r="T13" s="1089"/>
      <c r="U13" s="1089"/>
      <c r="V13" s="1098">
        <f t="shared" si="0"/>
        <v>0</v>
      </c>
      <c r="W13" s="1098"/>
      <c r="X13" s="1098"/>
      <c r="Y13" s="4"/>
      <c r="Z13" s="5"/>
      <c r="AA13" s="4"/>
      <c r="AB13" s="4"/>
      <c r="AD13" s="1038">
        <v>5</v>
      </c>
      <c r="AE13" s="1041" t="s">
        <v>21</v>
      </c>
      <c r="AF13" s="1042"/>
      <c r="AG13" s="1042"/>
      <c r="AH13" s="1042"/>
      <c r="AI13" s="1042"/>
      <c r="AJ13" s="1042"/>
      <c r="AK13" s="1042"/>
      <c r="AL13" s="1042"/>
      <c r="AM13" s="1042"/>
      <c r="AN13" s="1043"/>
      <c r="AO13" s="1041" t="s">
        <v>18</v>
      </c>
      <c r="AP13" s="1043"/>
      <c r="AQ13" s="1050" t="s">
        <v>5</v>
      </c>
      <c r="AR13" s="1052"/>
      <c r="AS13" s="9">
        <v>6</v>
      </c>
      <c r="AT13" s="7"/>
      <c r="AU13" s="10"/>
      <c r="AV13" s="9">
        <f>AS13+2</f>
        <v>8</v>
      </c>
      <c r="AW13" s="7"/>
      <c r="AX13" s="10"/>
    </row>
    <row r="14" spans="1:50" ht="17.45" customHeight="1" x14ac:dyDescent="0.7">
      <c r="A14" s="1079"/>
      <c r="B14" s="1097"/>
      <c r="C14" s="1097"/>
      <c r="D14" s="1097"/>
      <c r="E14" s="1097"/>
      <c r="F14" s="1097"/>
      <c r="G14" s="1097"/>
      <c r="H14" s="1097"/>
      <c r="I14" s="1097"/>
      <c r="J14" s="1097"/>
      <c r="K14" s="1097"/>
      <c r="L14" s="1090"/>
      <c r="M14" s="1090"/>
      <c r="N14" s="1091" t="s">
        <v>6</v>
      </c>
      <c r="O14" s="1091"/>
      <c r="P14" s="1089">
        <f>IFERROR(IF($AC$6=4,VLOOKUP($U$3,DATA!$U$8:$BL$19,AS14,0),0),0)</f>
        <v>0</v>
      </c>
      <c r="Q14" s="1089"/>
      <c r="R14" s="1089"/>
      <c r="S14" s="1089">
        <f>IFERROR(IF($AC$6=4,VLOOKUP($U$3,DATA!$U$8:$BL$19,AV14,0),0),0)</f>
        <v>0</v>
      </c>
      <c r="T14" s="1089"/>
      <c r="U14" s="1089"/>
      <c r="V14" s="1098">
        <f t="shared" si="0"/>
        <v>0</v>
      </c>
      <c r="W14" s="1098"/>
      <c r="X14" s="1098"/>
      <c r="AD14" s="1039"/>
      <c r="AE14" s="1044"/>
      <c r="AF14" s="1045"/>
      <c r="AG14" s="1045"/>
      <c r="AH14" s="1045"/>
      <c r="AI14" s="1045"/>
      <c r="AJ14" s="1045"/>
      <c r="AK14" s="1045"/>
      <c r="AL14" s="1045"/>
      <c r="AM14" s="1045"/>
      <c r="AN14" s="1046"/>
      <c r="AO14" s="1047"/>
      <c r="AP14" s="1049"/>
      <c r="AQ14" s="1050" t="s">
        <v>6</v>
      </c>
      <c r="AR14" s="1052"/>
      <c r="AS14" s="9">
        <f>AS13+1</f>
        <v>7</v>
      </c>
      <c r="AT14" s="7"/>
      <c r="AU14" s="10"/>
      <c r="AV14" s="9">
        <f>AS14+2</f>
        <v>9</v>
      </c>
      <c r="AW14" s="7"/>
      <c r="AX14" s="10"/>
    </row>
    <row r="15" spans="1:50" ht="17.45" customHeight="1" x14ac:dyDescent="0.7">
      <c r="A15" s="1079"/>
      <c r="B15" s="1097"/>
      <c r="C15" s="1097"/>
      <c r="D15" s="1097"/>
      <c r="E15" s="1097"/>
      <c r="F15" s="1097"/>
      <c r="G15" s="1097"/>
      <c r="H15" s="1097"/>
      <c r="I15" s="1097"/>
      <c r="J15" s="1097"/>
      <c r="K15" s="1097"/>
      <c r="L15" s="1090" t="s">
        <v>20</v>
      </c>
      <c r="M15" s="1090"/>
      <c r="N15" s="1091" t="s">
        <v>7</v>
      </c>
      <c r="O15" s="1091"/>
      <c r="P15" s="1089">
        <f>IFERROR(IF($AC$6=4,VLOOKUP($U$3,DATA!$U$8:$BL$19,AS15,0),0),0)</f>
        <v>0</v>
      </c>
      <c r="Q15" s="1089"/>
      <c r="R15" s="1089"/>
      <c r="S15" s="1089">
        <f>IFERROR(IF($AC$6=4,VLOOKUP($U$3,DATA!$U$8:$BL$19,AV15,0),0),0)</f>
        <v>0</v>
      </c>
      <c r="T15" s="1089"/>
      <c r="U15" s="1089"/>
      <c r="V15" s="1098">
        <f t="shared" si="0"/>
        <v>0</v>
      </c>
      <c r="W15" s="1098"/>
      <c r="X15" s="1098"/>
      <c r="AD15" s="1039"/>
      <c r="AE15" s="1044"/>
      <c r="AF15" s="1045"/>
      <c r="AG15" s="1045"/>
      <c r="AH15" s="1045"/>
      <c r="AI15" s="1045"/>
      <c r="AJ15" s="1045"/>
      <c r="AK15" s="1045"/>
      <c r="AL15" s="1045"/>
      <c r="AM15" s="1045"/>
      <c r="AN15" s="1046"/>
      <c r="AO15" s="1041" t="s">
        <v>20</v>
      </c>
      <c r="AP15" s="1043"/>
      <c r="AQ15" s="1050" t="s">
        <v>7</v>
      </c>
      <c r="AR15" s="1052"/>
      <c r="AS15" s="9">
        <v>27</v>
      </c>
      <c r="AT15" s="7"/>
      <c r="AU15" s="10"/>
      <c r="AV15" s="9">
        <f>AS15+3</f>
        <v>30</v>
      </c>
      <c r="AW15" s="7"/>
      <c r="AX15" s="10"/>
    </row>
    <row r="16" spans="1:50" ht="17.45" customHeight="1" x14ac:dyDescent="0.7">
      <c r="A16" s="1079"/>
      <c r="B16" s="1097"/>
      <c r="C16" s="1097"/>
      <c r="D16" s="1097"/>
      <c r="E16" s="1097"/>
      <c r="F16" s="1097"/>
      <c r="G16" s="1097"/>
      <c r="H16" s="1097"/>
      <c r="I16" s="1097"/>
      <c r="J16" s="1097"/>
      <c r="K16" s="1097"/>
      <c r="L16" s="1090"/>
      <c r="M16" s="1090"/>
      <c r="N16" s="1091" t="s">
        <v>8</v>
      </c>
      <c r="O16" s="1091"/>
      <c r="P16" s="1089">
        <f>IFERROR(IF($AC$6=4,VLOOKUP($U$3,DATA!$U$8:$BL$19,AS16,0),0),0)</f>
        <v>0</v>
      </c>
      <c r="Q16" s="1089"/>
      <c r="R16" s="1089"/>
      <c r="S16" s="1089">
        <f>IFERROR(IF($AC$6=4,VLOOKUP($U$3,DATA!$U$8:$BL$19,AV16,0),0),0)</f>
        <v>0</v>
      </c>
      <c r="T16" s="1089"/>
      <c r="U16" s="1089"/>
      <c r="V16" s="1098">
        <f t="shared" si="0"/>
        <v>0</v>
      </c>
      <c r="W16" s="1098"/>
      <c r="X16" s="1098"/>
      <c r="AD16" s="1039"/>
      <c r="AE16" s="1044"/>
      <c r="AF16" s="1045"/>
      <c r="AG16" s="1045"/>
      <c r="AH16" s="1045"/>
      <c r="AI16" s="1045"/>
      <c r="AJ16" s="1045"/>
      <c r="AK16" s="1045"/>
      <c r="AL16" s="1045"/>
      <c r="AM16" s="1045"/>
      <c r="AN16" s="1046"/>
      <c r="AO16" s="1044"/>
      <c r="AP16" s="1046"/>
      <c r="AQ16" s="1050" t="s">
        <v>8</v>
      </c>
      <c r="AR16" s="1052"/>
      <c r="AS16" s="9">
        <f t="shared" ref="AS16:AS17" si="3">AS15+1</f>
        <v>28</v>
      </c>
      <c r="AT16" s="7"/>
      <c r="AU16" s="10"/>
      <c r="AV16" s="9">
        <f t="shared" ref="AV16:AV17" si="4">AS16+3</f>
        <v>31</v>
      </c>
      <c r="AW16" s="7"/>
      <c r="AX16" s="10"/>
    </row>
    <row r="17" spans="1:50" ht="17.45" customHeight="1" x14ac:dyDescent="0.7">
      <c r="A17" s="1079"/>
      <c r="B17" s="1097"/>
      <c r="C17" s="1097"/>
      <c r="D17" s="1097"/>
      <c r="E17" s="1097"/>
      <c r="F17" s="1097"/>
      <c r="G17" s="1097"/>
      <c r="H17" s="1097"/>
      <c r="I17" s="1097"/>
      <c r="J17" s="1097"/>
      <c r="K17" s="1097"/>
      <c r="L17" s="1090"/>
      <c r="M17" s="1090"/>
      <c r="N17" s="1091" t="s">
        <v>9</v>
      </c>
      <c r="O17" s="1091"/>
      <c r="P17" s="1089">
        <f>IFERROR(IF($AC$6=4,VLOOKUP($U$3,DATA!$U$8:$BL$19,AS17,0),0),0)</f>
        <v>0</v>
      </c>
      <c r="Q17" s="1089"/>
      <c r="R17" s="1089"/>
      <c r="S17" s="1089">
        <f>IFERROR(IF($AC$6=4,VLOOKUP($U$3,DATA!$U$8:$BL$19,AV17,0),0),0)</f>
        <v>0</v>
      </c>
      <c r="T17" s="1089"/>
      <c r="U17" s="1089"/>
      <c r="V17" s="1098">
        <f t="shared" si="0"/>
        <v>0</v>
      </c>
      <c r="W17" s="1098"/>
      <c r="X17" s="1098"/>
      <c r="AD17" s="1040"/>
      <c r="AE17" s="1047"/>
      <c r="AF17" s="1048"/>
      <c r="AG17" s="1048"/>
      <c r="AH17" s="1048"/>
      <c r="AI17" s="1048"/>
      <c r="AJ17" s="1048"/>
      <c r="AK17" s="1048"/>
      <c r="AL17" s="1048"/>
      <c r="AM17" s="1048"/>
      <c r="AN17" s="1049"/>
      <c r="AO17" s="1047"/>
      <c r="AP17" s="1049"/>
      <c r="AQ17" s="1050" t="s">
        <v>9</v>
      </c>
      <c r="AR17" s="1052"/>
      <c r="AS17" s="9">
        <f t="shared" si="3"/>
        <v>29</v>
      </c>
      <c r="AT17" s="7"/>
      <c r="AU17" s="10"/>
      <c r="AV17" s="9">
        <f t="shared" si="4"/>
        <v>32</v>
      </c>
      <c r="AW17" s="7"/>
      <c r="AX17" s="10"/>
    </row>
    <row r="18" spans="1:50" ht="17.45" customHeight="1" x14ac:dyDescent="0.7">
      <c r="A18" s="1079">
        <v>6</v>
      </c>
      <c r="B18" s="1097" t="s">
        <v>81</v>
      </c>
      <c r="C18" s="1097"/>
      <c r="D18" s="1097"/>
      <c r="E18" s="1097"/>
      <c r="F18" s="1097"/>
      <c r="G18" s="1097"/>
      <c r="H18" s="1097"/>
      <c r="I18" s="1097"/>
      <c r="J18" s="1097"/>
      <c r="K18" s="1097"/>
      <c r="L18" s="1080" t="s">
        <v>18</v>
      </c>
      <c r="M18" s="1080"/>
      <c r="N18" s="1081" t="s">
        <v>5</v>
      </c>
      <c r="O18" s="1081"/>
      <c r="P18" s="1082">
        <f>IFERROR(IF($AC$6=4,VLOOKUP($U$3,DATA!$U$8:$BL$19,AS18,0),0),0)</f>
        <v>0</v>
      </c>
      <c r="Q18" s="1082"/>
      <c r="R18" s="1082"/>
      <c r="S18" s="1082">
        <f>IFERROR(IF($AC$6=4,VLOOKUP($U$3,DATA!$U$8:$BL$19,AV18,0),0),0)</f>
        <v>0</v>
      </c>
      <c r="T18" s="1082"/>
      <c r="U18" s="1082"/>
      <c r="V18" s="1099">
        <f t="shared" ref="V18:V22" si="5">P18+S18</f>
        <v>0</v>
      </c>
      <c r="W18" s="1099"/>
      <c r="X18" s="1099"/>
      <c r="AD18" s="1038">
        <v>6</v>
      </c>
      <c r="AE18" s="1041" t="s">
        <v>22</v>
      </c>
      <c r="AF18" s="1042"/>
      <c r="AG18" s="1042"/>
      <c r="AH18" s="1042"/>
      <c r="AI18" s="1042"/>
      <c r="AJ18" s="1042"/>
      <c r="AK18" s="1042"/>
      <c r="AL18" s="1042"/>
      <c r="AM18" s="1042"/>
      <c r="AN18" s="1043"/>
      <c r="AO18" s="1041" t="s">
        <v>18</v>
      </c>
      <c r="AP18" s="1043"/>
      <c r="AQ18" s="1050" t="s">
        <v>5</v>
      </c>
      <c r="AR18" s="1052"/>
      <c r="AS18" s="9">
        <v>10</v>
      </c>
      <c r="AT18" s="7"/>
      <c r="AU18" s="10"/>
      <c r="AV18" s="9">
        <f>AS18+2</f>
        <v>12</v>
      </c>
      <c r="AW18" s="7"/>
      <c r="AX18" s="10"/>
    </row>
    <row r="19" spans="1:50" ht="17.45" customHeight="1" x14ac:dyDescent="0.7">
      <c r="A19" s="1079"/>
      <c r="B19" s="1097"/>
      <c r="C19" s="1097"/>
      <c r="D19" s="1097"/>
      <c r="E19" s="1097"/>
      <c r="F19" s="1097"/>
      <c r="G19" s="1097"/>
      <c r="H19" s="1097"/>
      <c r="I19" s="1097"/>
      <c r="J19" s="1097"/>
      <c r="K19" s="1097"/>
      <c r="L19" s="1080"/>
      <c r="M19" s="1080"/>
      <c r="N19" s="1081" t="s">
        <v>6</v>
      </c>
      <c r="O19" s="1081"/>
      <c r="P19" s="1082">
        <f>IFERROR(IF($AC$6=4,VLOOKUP($U$3,DATA!$U$8:$BL$19,AS19,0),0),0)</f>
        <v>0</v>
      </c>
      <c r="Q19" s="1082"/>
      <c r="R19" s="1082"/>
      <c r="S19" s="1082">
        <f>IFERROR(IF($AC$6=4,VLOOKUP($U$3,DATA!$U$8:$BL$19,AV19,0),0),0)</f>
        <v>0</v>
      </c>
      <c r="T19" s="1082"/>
      <c r="U19" s="1082"/>
      <c r="V19" s="1099">
        <f t="shared" si="5"/>
        <v>0</v>
      </c>
      <c r="W19" s="1099"/>
      <c r="X19" s="1099"/>
      <c r="AD19" s="1039"/>
      <c r="AE19" s="1044"/>
      <c r="AF19" s="1045"/>
      <c r="AG19" s="1045"/>
      <c r="AH19" s="1045"/>
      <c r="AI19" s="1045"/>
      <c r="AJ19" s="1045"/>
      <c r="AK19" s="1045"/>
      <c r="AL19" s="1045"/>
      <c r="AM19" s="1045"/>
      <c r="AN19" s="1046"/>
      <c r="AO19" s="1047"/>
      <c r="AP19" s="1049"/>
      <c r="AQ19" s="1050" t="s">
        <v>6</v>
      </c>
      <c r="AR19" s="1052"/>
      <c r="AS19" s="9">
        <f>AS18+1</f>
        <v>11</v>
      </c>
      <c r="AT19" s="7"/>
      <c r="AU19" s="10"/>
      <c r="AV19" s="9">
        <f>AS19+2</f>
        <v>13</v>
      </c>
      <c r="AW19" s="7"/>
      <c r="AX19" s="10"/>
    </row>
    <row r="20" spans="1:50" ht="17.45" customHeight="1" x14ac:dyDescent="0.7">
      <c r="A20" s="1079"/>
      <c r="B20" s="1097"/>
      <c r="C20" s="1097"/>
      <c r="D20" s="1097"/>
      <c r="E20" s="1097"/>
      <c r="F20" s="1097"/>
      <c r="G20" s="1097"/>
      <c r="H20" s="1097"/>
      <c r="I20" s="1097"/>
      <c r="J20" s="1097"/>
      <c r="K20" s="1097"/>
      <c r="L20" s="1080" t="s">
        <v>20</v>
      </c>
      <c r="M20" s="1080"/>
      <c r="N20" s="1081" t="s">
        <v>7</v>
      </c>
      <c r="O20" s="1081"/>
      <c r="P20" s="1082">
        <f>IFERROR(IF($AC$6=4,VLOOKUP($U$3,DATA!$U$8:$BL$19,AS20,0),0),0)</f>
        <v>0</v>
      </c>
      <c r="Q20" s="1082"/>
      <c r="R20" s="1082"/>
      <c r="S20" s="1082">
        <f>IFERROR(IF($AC$6=4,VLOOKUP($U$3,DATA!$U$8:$BL$19,AV20,0),0),0)</f>
        <v>0</v>
      </c>
      <c r="T20" s="1082"/>
      <c r="U20" s="1082"/>
      <c r="V20" s="1099">
        <f t="shared" si="5"/>
        <v>0</v>
      </c>
      <c r="W20" s="1099"/>
      <c r="X20" s="1099"/>
      <c r="AD20" s="1039"/>
      <c r="AE20" s="1044"/>
      <c r="AF20" s="1045"/>
      <c r="AG20" s="1045"/>
      <c r="AH20" s="1045"/>
      <c r="AI20" s="1045"/>
      <c r="AJ20" s="1045"/>
      <c r="AK20" s="1045"/>
      <c r="AL20" s="1045"/>
      <c r="AM20" s="1045"/>
      <c r="AN20" s="1046"/>
      <c r="AO20" s="1041" t="s">
        <v>20</v>
      </c>
      <c r="AP20" s="1043"/>
      <c r="AQ20" s="1050" t="s">
        <v>7</v>
      </c>
      <c r="AR20" s="1052"/>
      <c r="AS20" s="9">
        <v>33</v>
      </c>
      <c r="AT20" s="7"/>
      <c r="AU20" s="10"/>
      <c r="AV20" s="9">
        <f>AS20+3</f>
        <v>36</v>
      </c>
      <c r="AW20" s="7"/>
      <c r="AX20" s="10"/>
    </row>
    <row r="21" spans="1:50" ht="17.45" customHeight="1" x14ac:dyDescent="0.7">
      <c r="A21" s="1079"/>
      <c r="B21" s="1097"/>
      <c r="C21" s="1097"/>
      <c r="D21" s="1097"/>
      <c r="E21" s="1097"/>
      <c r="F21" s="1097"/>
      <c r="G21" s="1097"/>
      <c r="H21" s="1097"/>
      <c r="I21" s="1097"/>
      <c r="J21" s="1097"/>
      <c r="K21" s="1097"/>
      <c r="L21" s="1080"/>
      <c r="M21" s="1080"/>
      <c r="N21" s="1081" t="s">
        <v>8</v>
      </c>
      <c r="O21" s="1081"/>
      <c r="P21" s="1082">
        <f>IFERROR(IF($AC$6=4,VLOOKUP($U$3,DATA!$U$8:$BL$19,AS21,0),0),0)</f>
        <v>0</v>
      </c>
      <c r="Q21" s="1082"/>
      <c r="R21" s="1082"/>
      <c r="S21" s="1082">
        <f>IFERROR(IF($AC$6=4,VLOOKUP($U$3,DATA!$U$8:$BL$19,AV21,0),0),0)</f>
        <v>0</v>
      </c>
      <c r="T21" s="1082"/>
      <c r="U21" s="1082"/>
      <c r="V21" s="1099">
        <f t="shared" si="5"/>
        <v>0</v>
      </c>
      <c r="W21" s="1099"/>
      <c r="X21" s="1099"/>
      <c r="AD21" s="1039"/>
      <c r="AE21" s="1044"/>
      <c r="AF21" s="1045"/>
      <c r="AG21" s="1045"/>
      <c r="AH21" s="1045"/>
      <c r="AI21" s="1045"/>
      <c r="AJ21" s="1045"/>
      <c r="AK21" s="1045"/>
      <c r="AL21" s="1045"/>
      <c r="AM21" s="1045"/>
      <c r="AN21" s="1046"/>
      <c r="AO21" s="1044"/>
      <c r="AP21" s="1046"/>
      <c r="AQ21" s="1050" t="s">
        <v>8</v>
      </c>
      <c r="AR21" s="1052"/>
      <c r="AS21" s="9">
        <f t="shared" ref="AS21:AS22" si="6">AS20+1</f>
        <v>34</v>
      </c>
      <c r="AT21" s="7"/>
      <c r="AU21" s="10"/>
      <c r="AV21" s="9">
        <f t="shared" ref="AV21:AV22" si="7">AS21+3</f>
        <v>37</v>
      </c>
      <c r="AW21" s="7"/>
      <c r="AX21" s="10"/>
    </row>
    <row r="22" spans="1:50" ht="17.45" customHeight="1" x14ac:dyDescent="0.7">
      <c r="A22" s="1079"/>
      <c r="B22" s="1097"/>
      <c r="C22" s="1097"/>
      <c r="D22" s="1097"/>
      <c r="E22" s="1097"/>
      <c r="F22" s="1097"/>
      <c r="G22" s="1097"/>
      <c r="H22" s="1097"/>
      <c r="I22" s="1097"/>
      <c r="J22" s="1097"/>
      <c r="K22" s="1097"/>
      <c r="L22" s="1080"/>
      <c r="M22" s="1080"/>
      <c r="N22" s="1081" t="s">
        <v>9</v>
      </c>
      <c r="O22" s="1081"/>
      <c r="P22" s="1082">
        <f>IFERROR(IF($AC$6=4,VLOOKUP($U$3,DATA!$U$8:$BL$19,AS22,0),0),0)</f>
        <v>0</v>
      </c>
      <c r="Q22" s="1082"/>
      <c r="R22" s="1082"/>
      <c r="S22" s="1082">
        <f>IFERROR(IF($AC$6=4,VLOOKUP($U$3,DATA!$U$8:$BL$19,AV22,0),0),0)</f>
        <v>0</v>
      </c>
      <c r="T22" s="1082"/>
      <c r="U22" s="1082"/>
      <c r="V22" s="1099">
        <f t="shared" si="5"/>
        <v>0</v>
      </c>
      <c r="W22" s="1099"/>
      <c r="X22" s="1099"/>
      <c r="AD22" s="1040"/>
      <c r="AE22" s="1047"/>
      <c r="AF22" s="1048"/>
      <c r="AG22" s="1048"/>
      <c r="AH22" s="1048"/>
      <c r="AI22" s="1048"/>
      <c r="AJ22" s="1048"/>
      <c r="AK22" s="1048"/>
      <c r="AL22" s="1048"/>
      <c r="AM22" s="1048"/>
      <c r="AN22" s="1049"/>
      <c r="AO22" s="1047"/>
      <c r="AP22" s="1049"/>
      <c r="AQ22" s="1050" t="s">
        <v>9</v>
      </c>
      <c r="AR22" s="1052"/>
      <c r="AS22" s="9">
        <f t="shared" si="6"/>
        <v>35</v>
      </c>
      <c r="AT22" s="7"/>
      <c r="AU22" s="10"/>
      <c r="AV22" s="9">
        <f t="shared" si="7"/>
        <v>38</v>
      </c>
      <c r="AW22" s="7"/>
      <c r="AX22" s="10"/>
    </row>
    <row r="23" spans="1:50" ht="17.45" customHeight="1" x14ac:dyDescent="0.7">
      <c r="A23" s="1079">
        <v>7</v>
      </c>
      <c r="B23" s="1097" t="s">
        <v>26</v>
      </c>
      <c r="C23" s="1097"/>
      <c r="D23" s="1097"/>
      <c r="E23" s="1097"/>
      <c r="F23" s="1097"/>
      <c r="G23" s="1097"/>
      <c r="H23" s="1097"/>
      <c r="I23" s="1097"/>
      <c r="J23" s="1097"/>
      <c r="K23" s="1097"/>
      <c r="L23" s="1093" t="s">
        <v>18</v>
      </c>
      <c r="M23" s="1093"/>
      <c r="N23" s="1094" t="s">
        <v>5</v>
      </c>
      <c r="O23" s="1094"/>
      <c r="P23" s="1092">
        <f>P8+P13+P18</f>
        <v>0</v>
      </c>
      <c r="Q23" s="1092"/>
      <c r="R23" s="1092"/>
      <c r="S23" s="1092">
        <f>S8+S13+S18</f>
        <v>0</v>
      </c>
      <c r="T23" s="1092"/>
      <c r="U23" s="1092"/>
      <c r="V23" s="1100">
        <f t="shared" si="0"/>
        <v>0</v>
      </c>
      <c r="W23" s="1100"/>
      <c r="X23" s="1100"/>
      <c r="AD23" s="1038">
        <v>7</v>
      </c>
      <c r="AE23" s="1041" t="s">
        <v>26</v>
      </c>
      <c r="AF23" s="1042"/>
      <c r="AG23" s="1042"/>
      <c r="AH23" s="1042"/>
      <c r="AI23" s="1042"/>
      <c r="AJ23" s="1042"/>
      <c r="AK23" s="1042"/>
      <c r="AL23" s="1042"/>
      <c r="AM23" s="1042"/>
      <c r="AN23" s="1043"/>
      <c r="AO23" s="1041" t="s">
        <v>18</v>
      </c>
      <c r="AP23" s="1043"/>
      <c r="AQ23" s="1050" t="s">
        <v>5</v>
      </c>
      <c r="AR23" s="1052"/>
      <c r="AS23" s="9"/>
      <c r="AT23" s="11"/>
      <c r="AU23" s="10"/>
      <c r="AV23" s="9"/>
      <c r="AW23" s="11"/>
      <c r="AX23" s="10"/>
    </row>
    <row r="24" spans="1:50" ht="17.45" customHeight="1" x14ac:dyDescent="0.7">
      <c r="A24" s="1079"/>
      <c r="B24" s="1097"/>
      <c r="C24" s="1097"/>
      <c r="D24" s="1097"/>
      <c r="E24" s="1097"/>
      <c r="F24" s="1097"/>
      <c r="G24" s="1097"/>
      <c r="H24" s="1097"/>
      <c r="I24" s="1097"/>
      <c r="J24" s="1097"/>
      <c r="K24" s="1097"/>
      <c r="L24" s="1093"/>
      <c r="M24" s="1093"/>
      <c r="N24" s="1094" t="s">
        <v>6</v>
      </c>
      <c r="O24" s="1094"/>
      <c r="P24" s="1092">
        <f t="shared" ref="P24:P27" si="8">P9+P14+P19</f>
        <v>0</v>
      </c>
      <c r="Q24" s="1092"/>
      <c r="R24" s="1092"/>
      <c r="S24" s="1092">
        <f t="shared" ref="S24:S27" si="9">S9+S14+S19</f>
        <v>0</v>
      </c>
      <c r="T24" s="1092"/>
      <c r="U24" s="1092"/>
      <c r="V24" s="1100">
        <f t="shared" si="0"/>
        <v>0</v>
      </c>
      <c r="W24" s="1100"/>
      <c r="X24" s="1100"/>
      <c r="AD24" s="1039"/>
      <c r="AE24" s="1044"/>
      <c r="AF24" s="1045"/>
      <c r="AG24" s="1045"/>
      <c r="AH24" s="1045"/>
      <c r="AI24" s="1045"/>
      <c r="AJ24" s="1045"/>
      <c r="AK24" s="1045"/>
      <c r="AL24" s="1045"/>
      <c r="AM24" s="1045"/>
      <c r="AN24" s="1046"/>
      <c r="AO24" s="1047"/>
      <c r="AP24" s="1049"/>
      <c r="AQ24" s="1050" t="s">
        <v>6</v>
      </c>
      <c r="AR24" s="1052"/>
      <c r="AS24" s="9"/>
      <c r="AT24" s="11"/>
      <c r="AU24" s="10"/>
      <c r="AV24" s="9"/>
      <c r="AW24" s="11"/>
      <c r="AX24" s="10"/>
    </row>
    <row r="25" spans="1:50" ht="17.45" customHeight="1" x14ac:dyDescent="0.7">
      <c r="A25" s="1079"/>
      <c r="B25" s="1097"/>
      <c r="C25" s="1097"/>
      <c r="D25" s="1097"/>
      <c r="E25" s="1097"/>
      <c r="F25" s="1097"/>
      <c r="G25" s="1097"/>
      <c r="H25" s="1097"/>
      <c r="I25" s="1097"/>
      <c r="J25" s="1097"/>
      <c r="K25" s="1097"/>
      <c r="L25" s="1093" t="s">
        <v>20</v>
      </c>
      <c r="M25" s="1093"/>
      <c r="N25" s="1094" t="s">
        <v>7</v>
      </c>
      <c r="O25" s="1094"/>
      <c r="P25" s="1092">
        <f t="shared" si="8"/>
        <v>0</v>
      </c>
      <c r="Q25" s="1092"/>
      <c r="R25" s="1092"/>
      <c r="S25" s="1092">
        <f t="shared" si="9"/>
        <v>0</v>
      </c>
      <c r="T25" s="1092"/>
      <c r="U25" s="1092"/>
      <c r="V25" s="1100">
        <f t="shared" si="0"/>
        <v>0</v>
      </c>
      <c r="W25" s="1100"/>
      <c r="X25" s="1100"/>
      <c r="AD25" s="1039"/>
      <c r="AE25" s="1044"/>
      <c r="AF25" s="1045"/>
      <c r="AG25" s="1045"/>
      <c r="AH25" s="1045"/>
      <c r="AI25" s="1045"/>
      <c r="AJ25" s="1045"/>
      <c r="AK25" s="1045"/>
      <c r="AL25" s="1045"/>
      <c r="AM25" s="1045"/>
      <c r="AN25" s="1046"/>
      <c r="AO25" s="1041" t="s">
        <v>20</v>
      </c>
      <c r="AP25" s="1043"/>
      <c r="AQ25" s="1050" t="s">
        <v>7</v>
      </c>
      <c r="AR25" s="1052"/>
      <c r="AS25" s="9"/>
      <c r="AT25" s="11"/>
      <c r="AU25" s="10"/>
      <c r="AV25" s="9"/>
      <c r="AW25" s="11"/>
      <c r="AX25" s="10"/>
    </row>
    <row r="26" spans="1:50" ht="17.45" customHeight="1" x14ac:dyDescent="0.7">
      <c r="A26" s="1079"/>
      <c r="B26" s="1097"/>
      <c r="C26" s="1097"/>
      <c r="D26" s="1097"/>
      <c r="E26" s="1097"/>
      <c r="F26" s="1097"/>
      <c r="G26" s="1097"/>
      <c r="H26" s="1097"/>
      <c r="I26" s="1097"/>
      <c r="J26" s="1097"/>
      <c r="K26" s="1097"/>
      <c r="L26" s="1093"/>
      <c r="M26" s="1093"/>
      <c r="N26" s="1094" t="s">
        <v>8</v>
      </c>
      <c r="O26" s="1094"/>
      <c r="P26" s="1092">
        <f t="shared" si="8"/>
        <v>0</v>
      </c>
      <c r="Q26" s="1092"/>
      <c r="R26" s="1092"/>
      <c r="S26" s="1092">
        <f t="shared" si="9"/>
        <v>0</v>
      </c>
      <c r="T26" s="1092"/>
      <c r="U26" s="1092"/>
      <c r="V26" s="1100">
        <f t="shared" si="0"/>
        <v>0</v>
      </c>
      <c r="W26" s="1100"/>
      <c r="X26" s="1100"/>
      <c r="AD26" s="1039"/>
      <c r="AE26" s="1044"/>
      <c r="AF26" s="1045"/>
      <c r="AG26" s="1045"/>
      <c r="AH26" s="1045"/>
      <c r="AI26" s="1045"/>
      <c r="AJ26" s="1045"/>
      <c r="AK26" s="1045"/>
      <c r="AL26" s="1045"/>
      <c r="AM26" s="1045"/>
      <c r="AN26" s="1046"/>
      <c r="AO26" s="1044"/>
      <c r="AP26" s="1046"/>
      <c r="AQ26" s="1050" t="s">
        <v>8</v>
      </c>
      <c r="AR26" s="1052"/>
      <c r="AS26" s="9"/>
      <c r="AT26" s="11"/>
      <c r="AU26" s="10"/>
      <c r="AV26" s="9"/>
      <c r="AW26" s="11"/>
      <c r="AX26" s="10"/>
    </row>
    <row r="27" spans="1:50" ht="17.45" customHeight="1" x14ac:dyDescent="0.7">
      <c r="A27" s="1079"/>
      <c r="B27" s="1097"/>
      <c r="C27" s="1097"/>
      <c r="D27" s="1097"/>
      <c r="E27" s="1097"/>
      <c r="F27" s="1097"/>
      <c r="G27" s="1097"/>
      <c r="H27" s="1097"/>
      <c r="I27" s="1097"/>
      <c r="J27" s="1097"/>
      <c r="K27" s="1097"/>
      <c r="L27" s="1093"/>
      <c r="M27" s="1093"/>
      <c r="N27" s="1094" t="s">
        <v>9</v>
      </c>
      <c r="O27" s="1094"/>
      <c r="P27" s="1092">
        <f t="shared" si="8"/>
        <v>0</v>
      </c>
      <c r="Q27" s="1092"/>
      <c r="R27" s="1092"/>
      <c r="S27" s="1092">
        <f t="shared" si="9"/>
        <v>0</v>
      </c>
      <c r="T27" s="1092"/>
      <c r="U27" s="1092"/>
      <c r="V27" s="1100">
        <f t="shared" si="0"/>
        <v>0</v>
      </c>
      <c r="W27" s="1100"/>
      <c r="X27" s="1100"/>
      <c r="AD27" s="1040"/>
      <c r="AE27" s="1047"/>
      <c r="AF27" s="1048"/>
      <c r="AG27" s="1048"/>
      <c r="AH27" s="1048"/>
      <c r="AI27" s="1048"/>
      <c r="AJ27" s="1048"/>
      <c r="AK27" s="1048"/>
      <c r="AL27" s="1048"/>
      <c r="AM27" s="1048"/>
      <c r="AN27" s="1049"/>
      <c r="AO27" s="1047"/>
      <c r="AP27" s="1049"/>
      <c r="AQ27" s="1050" t="s">
        <v>9</v>
      </c>
      <c r="AR27" s="1052"/>
      <c r="AS27" s="9"/>
      <c r="AT27" s="11"/>
      <c r="AU27" s="10"/>
      <c r="AV27" s="9"/>
      <c r="AW27" s="11"/>
      <c r="AX27" s="10"/>
    </row>
    <row r="28" spans="1:50" ht="17.45" customHeight="1" x14ac:dyDescent="0.7">
      <c r="A28" s="1079">
        <v>8</v>
      </c>
      <c r="B28" s="1097" t="s">
        <v>25</v>
      </c>
      <c r="C28" s="1097"/>
      <c r="D28" s="1097"/>
      <c r="E28" s="1097"/>
      <c r="F28" s="1097"/>
      <c r="G28" s="1097"/>
      <c r="H28" s="1097"/>
      <c r="I28" s="1097"/>
      <c r="J28" s="1097"/>
      <c r="K28" s="1097"/>
      <c r="L28" s="1083" t="s">
        <v>18</v>
      </c>
      <c r="M28" s="1083"/>
      <c r="N28" s="1084" t="s">
        <v>5</v>
      </c>
      <c r="O28" s="1084"/>
      <c r="P28" s="1085">
        <f>IFERROR(IF($AC$6=4,VLOOKUP($U$3,DATA!$U$8:$BL$19,AS28,0),0),0)</f>
        <v>0</v>
      </c>
      <c r="Q28" s="1085"/>
      <c r="R28" s="1085"/>
      <c r="S28" s="1085">
        <f>IFERROR(IF($AC$6=4,VLOOKUP($U$3,DATA!$U$8:$BL$19,AV28,0),0),0)</f>
        <v>0</v>
      </c>
      <c r="T28" s="1085"/>
      <c r="U28" s="1085"/>
      <c r="V28" s="1101">
        <f t="shared" si="0"/>
        <v>0</v>
      </c>
      <c r="W28" s="1101"/>
      <c r="X28" s="1101"/>
      <c r="AD28" s="1038">
        <v>8</v>
      </c>
      <c r="AE28" s="1041" t="s">
        <v>25</v>
      </c>
      <c r="AF28" s="1042"/>
      <c r="AG28" s="1042"/>
      <c r="AH28" s="1042"/>
      <c r="AI28" s="1042"/>
      <c r="AJ28" s="1042"/>
      <c r="AK28" s="1042"/>
      <c r="AL28" s="1042"/>
      <c r="AM28" s="1042"/>
      <c r="AN28" s="1043"/>
      <c r="AO28" s="1041" t="s">
        <v>18</v>
      </c>
      <c r="AP28" s="1043"/>
      <c r="AQ28" s="1050" t="s">
        <v>5</v>
      </c>
      <c r="AR28" s="1052"/>
      <c r="AS28" s="9">
        <v>14</v>
      </c>
      <c r="AT28" s="7"/>
      <c r="AU28" s="10"/>
      <c r="AV28" s="9">
        <f>AS28+2</f>
        <v>16</v>
      </c>
      <c r="AW28" s="7"/>
      <c r="AX28" s="10"/>
    </row>
    <row r="29" spans="1:50" ht="17.45" customHeight="1" x14ac:dyDescent="0.7">
      <c r="A29" s="1079"/>
      <c r="B29" s="1097"/>
      <c r="C29" s="1097"/>
      <c r="D29" s="1097"/>
      <c r="E29" s="1097"/>
      <c r="F29" s="1097"/>
      <c r="G29" s="1097"/>
      <c r="H29" s="1097"/>
      <c r="I29" s="1097"/>
      <c r="J29" s="1097"/>
      <c r="K29" s="1097"/>
      <c r="L29" s="1083"/>
      <c r="M29" s="1083"/>
      <c r="N29" s="1084" t="s">
        <v>6</v>
      </c>
      <c r="O29" s="1084"/>
      <c r="P29" s="1085">
        <f>IFERROR(IF($AC$6=4,VLOOKUP($U$3,DATA!$U$8:$BL$19,AS29,0),0),0)</f>
        <v>0</v>
      </c>
      <c r="Q29" s="1085"/>
      <c r="R29" s="1085"/>
      <c r="S29" s="1085">
        <f>IFERROR(IF($AC$6=4,VLOOKUP($U$3,DATA!$U$8:$BL$19,AV29,0),0),0)</f>
        <v>0</v>
      </c>
      <c r="T29" s="1085"/>
      <c r="U29" s="1085"/>
      <c r="V29" s="1101">
        <f t="shared" si="0"/>
        <v>0</v>
      </c>
      <c r="W29" s="1101"/>
      <c r="X29" s="1101"/>
      <c r="AD29" s="1039"/>
      <c r="AE29" s="1044"/>
      <c r="AF29" s="1045"/>
      <c r="AG29" s="1045"/>
      <c r="AH29" s="1045"/>
      <c r="AI29" s="1045"/>
      <c r="AJ29" s="1045"/>
      <c r="AK29" s="1045"/>
      <c r="AL29" s="1045"/>
      <c r="AM29" s="1045"/>
      <c r="AN29" s="1046"/>
      <c r="AO29" s="1047"/>
      <c r="AP29" s="1049"/>
      <c r="AQ29" s="1050" t="s">
        <v>6</v>
      </c>
      <c r="AR29" s="1052"/>
      <c r="AS29" s="9">
        <f>AS28+1</f>
        <v>15</v>
      </c>
      <c r="AT29" s="7"/>
      <c r="AU29" s="10"/>
      <c r="AV29" s="9">
        <f>AS29+2</f>
        <v>17</v>
      </c>
      <c r="AW29" s="7"/>
      <c r="AX29" s="10"/>
    </row>
    <row r="30" spans="1:50" ht="17.45" customHeight="1" x14ac:dyDescent="0.7">
      <c r="A30" s="1079"/>
      <c r="B30" s="1097"/>
      <c r="C30" s="1097"/>
      <c r="D30" s="1097"/>
      <c r="E30" s="1097"/>
      <c r="F30" s="1097"/>
      <c r="G30" s="1097"/>
      <c r="H30" s="1097"/>
      <c r="I30" s="1097"/>
      <c r="J30" s="1097"/>
      <c r="K30" s="1097"/>
      <c r="L30" s="1083" t="s">
        <v>20</v>
      </c>
      <c r="M30" s="1083"/>
      <c r="N30" s="1084" t="s">
        <v>7</v>
      </c>
      <c r="O30" s="1084"/>
      <c r="P30" s="1085">
        <f>IFERROR(IF($AC$6=4,VLOOKUP($U$3,DATA!$U$8:$BL$19,AS30,0),0),0)</f>
        <v>0</v>
      </c>
      <c r="Q30" s="1085"/>
      <c r="R30" s="1085"/>
      <c r="S30" s="1085">
        <f>IFERROR(IF($AC$6=4,VLOOKUP($U$3,DATA!$U$8:$BL$19,AV30,0),0),0)</f>
        <v>0</v>
      </c>
      <c r="T30" s="1085"/>
      <c r="U30" s="1085"/>
      <c r="V30" s="1101">
        <f t="shared" si="0"/>
        <v>0</v>
      </c>
      <c r="W30" s="1101"/>
      <c r="X30" s="1101"/>
      <c r="AD30" s="1039"/>
      <c r="AE30" s="1044"/>
      <c r="AF30" s="1045"/>
      <c r="AG30" s="1045"/>
      <c r="AH30" s="1045"/>
      <c r="AI30" s="1045"/>
      <c r="AJ30" s="1045"/>
      <c r="AK30" s="1045"/>
      <c r="AL30" s="1045"/>
      <c r="AM30" s="1045"/>
      <c r="AN30" s="1046"/>
      <c r="AO30" s="1041" t="s">
        <v>20</v>
      </c>
      <c r="AP30" s="1043"/>
      <c r="AQ30" s="1050" t="s">
        <v>7</v>
      </c>
      <c r="AR30" s="1052"/>
      <c r="AS30" s="9">
        <v>39</v>
      </c>
      <c r="AT30" s="7"/>
      <c r="AU30" s="10"/>
      <c r="AV30" s="9">
        <f>AS30+3</f>
        <v>42</v>
      </c>
      <c r="AW30" s="7"/>
      <c r="AX30" s="10"/>
    </row>
    <row r="31" spans="1:50" ht="17.45" customHeight="1" x14ac:dyDescent="0.7">
      <c r="A31" s="1079"/>
      <c r="B31" s="1097"/>
      <c r="C31" s="1097"/>
      <c r="D31" s="1097"/>
      <c r="E31" s="1097"/>
      <c r="F31" s="1097"/>
      <c r="G31" s="1097"/>
      <c r="H31" s="1097"/>
      <c r="I31" s="1097"/>
      <c r="J31" s="1097"/>
      <c r="K31" s="1097"/>
      <c r="L31" s="1083"/>
      <c r="M31" s="1083"/>
      <c r="N31" s="1084" t="s">
        <v>8</v>
      </c>
      <c r="O31" s="1084"/>
      <c r="P31" s="1085">
        <f>IFERROR(IF($AC$6=4,VLOOKUP($U$3,DATA!$U$8:$BL$19,AS31,0),0),0)</f>
        <v>0</v>
      </c>
      <c r="Q31" s="1085"/>
      <c r="R31" s="1085"/>
      <c r="S31" s="1085">
        <f>IFERROR(IF($AC$6=4,VLOOKUP($U$3,DATA!$U$8:$BL$19,AV31,0),0),0)</f>
        <v>0</v>
      </c>
      <c r="T31" s="1085"/>
      <c r="U31" s="1085"/>
      <c r="V31" s="1101">
        <f t="shared" si="0"/>
        <v>0</v>
      </c>
      <c r="W31" s="1101"/>
      <c r="X31" s="1101"/>
      <c r="AD31" s="1039"/>
      <c r="AE31" s="1044"/>
      <c r="AF31" s="1045"/>
      <c r="AG31" s="1045"/>
      <c r="AH31" s="1045"/>
      <c r="AI31" s="1045"/>
      <c r="AJ31" s="1045"/>
      <c r="AK31" s="1045"/>
      <c r="AL31" s="1045"/>
      <c r="AM31" s="1045"/>
      <c r="AN31" s="1046"/>
      <c r="AO31" s="1044"/>
      <c r="AP31" s="1046"/>
      <c r="AQ31" s="1050" t="s">
        <v>8</v>
      </c>
      <c r="AR31" s="1052"/>
      <c r="AS31" s="9">
        <f t="shared" ref="AS31:AS32" si="10">AS30+1</f>
        <v>40</v>
      </c>
      <c r="AT31" s="7"/>
      <c r="AU31" s="10"/>
      <c r="AV31" s="9">
        <f t="shared" ref="AV31:AV32" si="11">AS31+3</f>
        <v>43</v>
      </c>
      <c r="AW31" s="7"/>
      <c r="AX31" s="10"/>
    </row>
    <row r="32" spans="1:50" ht="17.45" customHeight="1" x14ac:dyDescent="0.7">
      <c r="A32" s="1079"/>
      <c r="B32" s="1097"/>
      <c r="C32" s="1097"/>
      <c r="D32" s="1097"/>
      <c r="E32" s="1097"/>
      <c r="F32" s="1097"/>
      <c r="G32" s="1097"/>
      <c r="H32" s="1097"/>
      <c r="I32" s="1097"/>
      <c r="J32" s="1097"/>
      <c r="K32" s="1097"/>
      <c r="L32" s="1083"/>
      <c r="M32" s="1083"/>
      <c r="N32" s="1084" t="s">
        <v>9</v>
      </c>
      <c r="O32" s="1084"/>
      <c r="P32" s="1085">
        <f>IFERROR(IF($AC$6=4,VLOOKUP($U$3,DATA!$U$8:$BL$19,AS32,0),0),0)</f>
        <v>0</v>
      </c>
      <c r="Q32" s="1085"/>
      <c r="R32" s="1085"/>
      <c r="S32" s="1085">
        <f>IFERROR(IF($AC$6=4,VLOOKUP($U$3,DATA!$U$8:$BL$19,AV32,0),0),0)</f>
        <v>0</v>
      </c>
      <c r="T32" s="1085"/>
      <c r="U32" s="1085"/>
      <c r="V32" s="1101">
        <f t="shared" si="0"/>
        <v>0</v>
      </c>
      <c r="W32" s="1101"/>
      <c r="X32" s="1101"/>
      <c r="AD32" s="1040"/>
      <c r="AE32" s="1047"/>
      <c r="AF32" s="1048"/>
      <c r="AG32" s="1048"/>
      <c r="AH32" s="1048"/>
      <c r="AI32" s="1048"/>
      <c r="AJ32" s="1048"/>
      <c r="AK32" s="1048"/>
      <c r="AL32" s="1048"/>
      <c r="AM32" s="1048"/>
      <c r="AN32" s="1049"/>
      <c r="AO32" s="1047"/>
      <c r="AP32" s="1049"/>
      <c r="AQ32" s="1050" t="s">
        <v>9</v>
      </c>
      <c r="AR32" s="1052"/>
      <c r="AS32" s="9">
        <f t="shared" si="10"/>
        <v>41</v>
      </c>
      <c r="AT32" s="7"/>
      <c r="AU32" s="10"/>
      <c r="AV32" s="9">
        <f t="shared" si="11"/>
        <v>44</v>
      </c>
      <c r="AW32" s="7"/>
      <c r="AX32" s="10"/>
    </row>
    <row r="33" spans="1:50" ht="17.45" customHeight="1" x14ac:dyDescent="0.7">
      <c r="A33" s="1079">
        <v>10</v>
      </c>
      <c r="B33" s="1097" t="s">
        <v>27</v>
      </c>
      <c r="C33" s="1097"/>
      <c r="D33" s="1097"/>
      <c r="E33" s="1097"/>
      <c r="F33" s="1097"/>
      <c r="G33" s="1097"/>
      <c r="H33" s="1097"/>
      <c r="I33" s="1097"/>
      <c r="J33" s="1097"/>
      <c r="K33" s="1097"/>
      <c r="L33" s="1104" t="s">
        <v>18</v>
      </c>
      <c r="M33" s="1104"/>
      <c r="N33" s="1105" t="s">
        <v>5</v>
      </c>
      <c r="O33" s="1105"/>
      <c r="P33" s="1102">
        <f>P23-P28</f>
        <v>0</v>
      </c>
      <c r="Q33" s="1102"/>
      <c r="R33" s="1102"/>
      <c r="S33" s="1102">
        <f t="shared" ref="S33:S37" si="12">S23-S28</f>
        <v>0</v>
      </c>
      <c r="T33" s="1102"/>
      <c r="U33" s="1102"/>
      <c r="V33" s="1103">
        <f t="shared" si="0"/>
        <v>0</v>
      </c>
      <c r="W33" s="1103"/>
      <c r="X33" s="1103"/>
      <c r="AD33" s="1038">
        <v>10</v>
      </c>
      <c r="AE33" s="1041" t="s">
        <v>27</v>
      </c>
      <c r="AF33" s="1042"/>
      <c r="AG33" s="1042"/>
      <c r="AH33" s="1042"/>
      <c r="AI33" s="1042"/>
      <c r="AJ33" s="1042"/>
      <c r="AK33" s="1042"/>
      <c r="AL33" s="1042"/>
      <c r="AM33" s="1042"/>
      <c r="AN33" s="1043"/>
      <c r="AO33" s="1041" t="s">
        <v>18</v>
      </c>
      <c r="AP33" s="1043"/>
      <c r="AQ33" s="1050" t="s">
        <v>5</v>
      </c>
      <c r="AR33" s="1052"/>
      <c r="AS33" s="9"/>
      <c r="AT33" s="11"/>
      <c r="AU33" s="10"/>
      <c r="AV33" s="9"/>
      <c r="AW33" s="11"/>
      <c r="AX33" s="10"/>
    </row>
    <row r="34" spans="1:50" ht="17.45" customHeight="1" x14ac:dyDescent="0.7">
      <c r="A34" s="1079"/>
      <c r="B34" s="1097"/>
      <c r="C34" s="1097"/>
      <c r="D34" s="1097"/>
      <c r="E34" s="1097"/>
      <c r="F34" s="1097"/>
      <c r="G34" s="1097"/>
      <c r="H34" s="1097"/>
      <c r="I34" s="1097"/>
      <c r="J34" s="1097"/>
      <c r="K34" s="1097"/>
      <c r="L34" s="1104"/>
      <c r="M34" s="1104"/>
      <c r="N34" s="1105" t="s">
        <v>6</v>
      </c>
      <c r="O34" s="1105"/>
      <c r="P34" s="1102">
        <f t="shared" ref="P34:P37" si="13">P24-P29</f>
        <v>0</v>
      </c>
      <c r="Q34" s="1102"/>
      <c r="R34" s="1102"/>
      <c r="S34" s="1102">
        <f t="shared" si="12"/>
        <v>0</v>
      </c>
      <c r="T34" s="1102"/>
      <c r="U34" s="1102"/>
      <c r="V34" s="1103">
        <f t="shared" si="0"/>
        <v>0</v>
      </c>
      <c r="W34" s="1103"/>
      <c r="X34" s="1103"/>
      <c r="AD34" s="1039"/>
      <c r="AE34" s="1044"/>
      <c r="AF34" s="1045"/>
      <c r="AG34" s="1045"/>
      <c r="AH34" s="1045"/>
      <c r="AI34" s="1045"/>
      <c r="AJ34" s="1045"/>
      <c r="AK34" s="1045"/>
      <c r="AL34" s="1045"/>
      <c r="AM34" s="1045"/>
      <c r="AN34" s="1046"/>
      <c r="AO34" s="1047"/>
      <c r="AP34" s="1049"/>
      <c r="AQ34" s="1050" t="s">
        <v>6</v>
      </c>
      <c r="AR34" s="1052"/>
      <c r="AS34" s="9"/>
      <c r="AT34" s="11"/>
      <c r="AU34" s="10"/>
      <c r="AV34" s="9"/>
      <c r="AW34" s="11"/>
      <c r="AX34" s="10"/>
    </row>
    <row r="35" spans="1:50" ht="17.45" customHeight="1" x14ac:dyDescent="0.7">
      <c r="A35" s="1079"/>
      <c r="B35" s="1097"/>
      <c r="C35" s="1097"/>
      <c r="D35" s="1097"/>
      <c r="E35" s="1097"/>
      <c r="F35" s="1097"/>
      <c r="G35" s="1097"/>
      <c r="H35" s="1097"/>
      <c r="I35" s="1097"/>
      <c r="J35" s="1097"/>
      <c r="K35" s="1097"/>
      <c r="L35" s="1104" t="s">
        <v>20</v>
      </c>
      <c r="M35" s="1104"/>
      <c r="N35" s="1105" t="s">
        <v>7</v>
      </c>
      <c r="O35" s="1105"/>
      <c r="P35" s="1102">
        <f t="shared" si="13"/>
        <v>0</v>
      </c>
      <c r="Q35" s="1102"/>
      <c r="R35" s="1102"/>
      <c r="S35" s="1102">
        <f t="shared" si="12"/>
        <v>0</v>
      </c>
      <c r="T35" s="1102"/>
      <c r="U35" s="1102"/>
      <c r="V35" s="1103">
        <f t="shared" si="0"/>
        <v>0</v>
      </c>
      <c r="W35" s="1103"/>
      <c r="X35" s="1103"/>
      <c r="AD35" s="1039"/>
      <c r="AE35" s="1044"/>
      <c r="AF35" s="1045"/>
      <c r="AG35" s="1045"/>
      <c r="AH35" s="1045"/>
      <c r="AI35" s="1045"/>
      <c r="AJ35" s="1045"/>
      <c r="AK35" s="1045"/>
      <c r="AL35" s="1045"/>
      <c r="AM35" s="1045"/>
      <c r="AN35" s="1046"/>
      <c r="AO35" s="1041" t="s">
        <v>20</v>
      </c>
      <c r="AP35" s="1043"/>
      <c r="AQ35" s="1050" t="s">
        <v>7</v>
      </c>
      <c r="AR35" s="1052"/>
      <c r="AS35" s="9"/>
      <c r="AT35" s="11"/>
      <c r="AU35" s="10"/>
      <c r="AV35" s="9"/>
      <c r="AW35" s="11"/>
      <c r="AX35" s="10"/>
    </row>
    <row r="36" spans="1:50" ht="17.45" customHeight="1" x14ac:dyDescent="0.7">
      <c r="A36" s="1079"/>
      <c r="B36" s="1097"/>
      <c r="C36" s="1097"/>
      <c r="D36" s="1097"/>
      <c r="E36" s="1097"/>
      <c r="F36" s="1097"/>
      <c r="G36" s="1097"/>
      <c r="H36" s="1097"/>
      <c r="I36" s="1097"/>
      <c r="J36" s="1097"/>
      <c r="K36" s="1097"/>
      <c r="L36" s="1104"/>
      <c r="M36" s="1104"/>
      <c r="N36" s="1105" t="s">
        <v>8</v>
      </c>
      <c r="O36" s="1105"/>
      <c r="P36" s="1102">
        <f t="shared" si="13"/>
        <v>0</v>
      </c>
      <c r="Q36" s="1102"/>
      <c r="R36" s="1102"/>
      <c r="S36" s="1102">
        <f t="shared" si="12"/>
        <v>0</v>
      </c>
      <c r="T36" s="1102"/>
      <c r="U36" s="1102"/>
      <c r="V36" s="1103">
        <f t="shared" si="0"/>
        <v>0</v>
      </c>
      <c r="W36" s="1103"/>
      <c r="X36" s="1103"/>
      <c r="AD36" s="1039"/>
      <c r="AE36" s="1044"/>
      <c r="AF36" s="1045"/>
      <c r="AG36" s="1045"/>
      <c r="AH36" s="1045"/>
      <c r="AI36" s="1045"/>
      <c r="AJ36" s="1045"/>
      <c r="AK36" s="1045"/>
      <c r="AL36" s="1045"/>
      <c r="AM36" s="1045"/>
      <c r="AN36" s="1046"/>
      <c r="AO36" s="1044"/>
      <c r="AP36" s="1046"/>
      <c r="AQ36" s="1050" t="s">
        <v>8</v>
      </c>
      <c r="AR36" s="1052"/>
      <c r="AS36" s="9"/>
      <c r="AT36" s="11"/>
      <c r="AU36" s="10"/>
      <c r="AV36" s="9"/>
      <c r="AW36" s="11"/>
      <c r="AX36" s="10"/>
    </row>
    <row r="37" spans="1:50" ht="17.45" customHeight="1" x14ac:dyDescent="0.7">
      <c r="A37" s="1079"/>
      <c r="B37" s="1097"/>
      <c r="C37" s="1097"/>
      <c r="D37" s="1097"/>
      <c r="E37" s="1097"/>
      <c r="F37" s="1097"/>
      <c r="G37" s="1097"/>
      <c r="H37" s="1097"/>
      <c r="I37" s="1097"/>
      <c r="J37" s="1097"/>
      <c r="K37" s="1097"/>
      <c r="L37" s="1104"/>
      <c r="M37" s="1104"/>
      <c r="N37" s="1105" t="s">
        <v>9</v>
      </c>
      <c r="O37" s="1105"/>
      <c r="P37" s="1102">
        <f t="shared" si="13"/>
        <v>0</v>
      </c>
      <c r="Q37" s="1102"/>
      <c r="R37" s="1102"/>
      <c r="S37" s="1102">
        <f t="shared" si="12"/>
        <v>0</v>
      </c>
      <c r="T37" s="1102"/>
      <c r="U37" s="1102"/>
      <c r="V37" s="1103">
        <f t="shared" si="0"/>
        <v>0</v>
      </c>
      <c r="W37" s="1103"/>
      <c r="X37" s="1103"/>
      <c r="AD37" s="1040"/>
      <c r="AE37" s="1047"/>
      <c r="AF37" s="1048"/>
      <c r="AG37" s="1048"/>
      <c r="AH37" s="1048"/>
      <c r="AI37" s="1048"/>
      <c r="AJ37" s="1048"/>
      <c r="AK37" s="1048"/>
      <c r="AL37" s="1048"/>
      <c r="AM37" s="1048"/>
      <c r="AN37" s="1049"/>
      <c r="AO37" s="1047"/>
      <c r="AP37" s="1049"/>
      <c r="AQ37" s="1050" t="s">
        <v>9</v>
      </c>
      <c r="AR37" s="1052"/>
      <c r="AS37" s="9"/>
      <c r="AT37" s="11"/>
      <c r="AU37" s="10"/>
      <c r="AV37" s="9"/>
      <c r="AW37" s="11"/>
      <c r="AX37" s="10"/>
    </row>
    <row r="38" spans="1:50" ht="17.45" customHeight="1" x14ac:dyDescent="0.7">
      <c r="A38" s="1079">
        <v>11</v>
      </c>
      <c r="B38" s="1120" t="s">
        <v>10</v>
      </c>
      <c r="C38" s="1120"/>
      <c r="D38" s="1120"/>
      <c r="E38" s="1120"/>
      <c r="F38" s="1120"/>
      <c r="G38" s="1120"/>
      <c r="H38" s="1120"/>
      <c r="I38" s="1120"/>
      <c r="J38" s="1120"/>
      <c r="K38" s="1120"/>
      <c r="L38" s="1087" t="s">
        <v>11</v>
      </c>
      <c r="M38" s="1087"/>
      <c r="N38" s="1087"/>
      <c r="O38" s="1087"/>
      <c r="P38" s="1019">
        <f>IFERROR(IF($AC$6=4,VLOOKUP($U$3,PAYMENT!$AG$8:$AT$19,AS38,0),0),0)</f>
        <v>0</v>
      </c>
      <c r="Q38" s="1020"/>
      <c r="R38" s="1020"/>
      <c r="S38" s="1020"/>
      <c r="T38" s="1020"/>
      <c r="U38" s="1020"/>
      <c r="V38" s="1020"/>
      <c r="W38" s="1020"/>
      <c r="X38" s="1021"/>
      <c r="AD38" s="1038">
        <v>11</v>
      </c>
      <c r="AE38" s="1054" t="s">
        <v>10</v>
      </c>
      <c r="AF38" s="1055"/>
      <c r="AG38" s="1055"/>
      <c r="AH38" s="1055"/>
      <c r="AI38" s="1055"/>
      <c r="AJ38" s="1055"/>
      <c r="AK38" s="1055"/>
      <c r="AL38" s="1055"/>
      <c r="AM38" s="1055"/>
      <c r="AN38" s="1056"/>
      <c r="AO38" s="1050" t="s">
        <v>11</v>
      </c>
      <c r="AP38" s="1051"/>
      <c r="AQ38" s="1051"/>
      <c r="AR38" s="1052"/>
      <c r="AS38" s="9">
        <v>2</v>
      </c>
      <c r="AT38" s="7"/>
      <c r="AU38" s="10"/>
      <c r="AV38" s="9"/>
      <c r="AW38" s="11"/>
      <c r="AX38" s="10"/>
    </row>
    <row r="39" spans="1:50" ht="17.45" customHeight="1" x14ac:dyDescent="0.7">
      <c r="A39" s="1079"/>
      <c r="B39" s="1120"/>
      <c r="C39" s="1120"/>
      <c r="D39" s="1120"/>
      <c r="E39" s="1120"/>
      <c r="F39" s="1120"/>
      <c r="G39" s="1120"/>
      <c r="H39" s="1120"/>
      <c r="I39" s="1120"/>
      <c r="J39" s="1120"/>
      <c r="K39" s="1120"/>
      <c r="L39" s="1087" t="s">
        <v>12</v>
      </c>
      <c r="M39" s="1087"/>
      <c r="N39" s="1087"/>
      <c r="O39" s="1087"/>
      <c r="P39" s="1019">
        <f>IFERROR(IF($AC$6=4,VLOOKUP($U$3,PAYMENT!$AG$8:$AT$19,AS39,0),0),0)</f>
        <v>0</v>
      </c>
      <c r="Q39" s="1020"/>
      <c r="R39" s="1020"/>
      <c r="S39" s="1020"/>
      <c r="T39" s="1020"/>
      <c r="U39" s="1020"/>
      <c r="V39" s="1020"/>
      <c r="W39" s="1020"/>
      <c r="X39" s="1021"/>
      <c r="AD39" s="1039"/>
      <c r="AE39" s="1057"/>
      <c r="AF39" s="1058"/>
      <c r="AG39" s="1058"/>
      <c r="AH39" s="1058"/>
      <c r="AI39" s="1058"/>
      <c r="AJ39" s="1058"/>
      <c r="AK39" s="1058"/>
      <c r="AL39" s="1058"/>
      <c r="AM39" s="1058"/>
      <c r="AN39" s="1059"/>
      <c r="AO39" s="1050" t="s">
        <v>12</v>
      </c>
      <c r="AP39" s="1051"/>
      <c r="AQ39" s="1051"/>
      <c r="AR39" s="1052"/>
      <c r="AS39" s="9">
        <v>5</v>
      </c>
      <c r="AT39" s="7"/>
      <c r="AU39" s="10"/>
      <c r="AV39" s="9"/>
      <c r="AW39" s="11"/>
      <c r="AX39" s="10"/>
    </row>
    <row r="40" spans="1:50" ht="17.45" customHeight="1" x14ac:dyDescent="0.7">
      <c r="A40" s="1079"/>
      <c r="B40" s="1120"/>
      <c r="C40" s="1120"/>
      <c r="D40" s="1120"/>
      <c r="E40" s="1120"/>
      <c r="F40" s="1120"/>
      <c r="G40" s="1120"/>
      <c r="H40" s="1120"/>
      <c r="I40" s="1120"/>
      <c r="J40" s="1120"/>
      <c r="K40" s="1120"/>
      <c r="L40" s="1087" t="s">
        <v>13</v>
      </c>
      <c r="M40" s="1087"/>
      <c r="N40" s="1087"/>
      <c r="O40" s="1087"/>
      <c r="P40" s="1022">
        <f>P38+P39</f>
        <v>0</v>
      </c>
      <c r="Q40" s="1023"/>
      <c r="R40" s="1023"/>
      <c r="S40" s="1023"/>
      <c r="T40" s="1023"/>
      <c r="U40" s="1023"/>
      <c r="V40" s="1023"/>
      <c r="W40" s="1023"/>
      <c r="X40" s="1024"/>
      <c r="AD40" s="1039"/>
      <c r="AE40" s="1057"/>
      <c r="AF40" s="1058"/>
      <c r="AG40" s="1058"/>
      <c r="AH40" s="1058"/>
      <c r="AI40" s="1058"/>
      <c r="AJ40" s="1058"/>
      <c r="AK40" s="1058"/>
      <c r="AL40" s="1058"/>
      <c r="AM40" s="1058"/>
      <c r="AN40" s="1059"/>
      <c r="AO40" s="1050" t="s">
        <v>13</v>
      </c>
      <c r="AP40" s="1051"/>
      <c r="AQ40" s="1051"/>
      <c r="AR40" s="1052"/>
      <c r="AS40" s="9"/>
      <c r="AT40" s="11"/>
      <c r="AU40" s="10"/>
      <c r="AV40" s="9"/>
      <c r="AW40" s="11"/>
      <c r="AX40" s="10"/>
    </row>
    <row r="41" spans="1:50" ht="17.45" customHeight="1" x14ac:dyDescent="0.7">
      <c r="A41" s="1079"/>
      <c r="B41" s="1120"/>
      <c r="C41" s="1120"/>
      <c r="D41" s="1120"/>
      <c r="E41" s="1120"/>
      <c r="F41" s="1120"/>
      <c r="G41" s="1120"/>
      <c r="H41" s="1120"/>
      <c r="I41" s="1120"/>
      <c r="J41" s="1120"/>
      <c r="K41" s="1120"/>
      <c r="L41" s="1087" t="s">
        <v>29</v>
      </c>
      <c r="M41" s="1087"/>
      <c r="N41" s="1087"/>
      <c r="O41" s="1087"/>
      <c r="P41" s="1031">
        <f>IFERROR(IF($AC$6=4,VLOOKUP($U$3,PAYMENT!$AG$8:$AT$19,AS41,0),0),0)</f>
        <v>0</v>
      </c>
      <c r="Q41" s="1031"/>
      <c r="R41" s="1031"/>
      <c r="S41" s="1031">
        <f>IFERROR(IF($AC$6=4,VLOOKUP($U$3,PAYMENT!$AG$8:$AT$19,AV41,0),0),0)</f>
        <v>0</v>
      </c>
      <c r="T41" s="1031"/>
      <c r="U41" s="1031"/>
      <c r="V41" s="1032">
        <f>ROUND(P41+S41,0)</f>
        <v>0</v>
      </c>
      <c r="W41" s="1032"/>
      <c r="X41" s="1032"/>
      <c r="AD41" s="1039"/>
      <c r="AE41" s="1057"/>
      <c r="AF41" s="1058"/>
      <c r="AG41" s="1058"/>
      <c r="AH41" s="1058"/>
      <c r="AI41" s="1058"/>
      <c r="AJ41" s="1058"/>
      <c r="AK41" s="1058"/>
      <c r="AL41" s="1058"/>
      <c r="AM41" s="1058"/>
      <c r="AN41" s="1059"/>
      <c r="AO41" s="1050" t="s">
        <v>29</v>
      </c>
      <c r="AP41" s="1051"/>
      <c r="AQ41" s="1051"/>
      <c r="AR41" s="1052"/>
      <c r="AS41" s="9">
        <v>8</v>
      </c>
      <c r="AT41" s="7"/>
      <c r="AU41" s="10"/>
      <c r="AV41" s="9">
        <v>9</v>
      </c>
      <c r="AW41" s="7"/>
      <c r="AX41" s="10"/>
    </row>
    <row r="42" spans="1:50" ht="17.45" customHeight="1" x14ac:dyDescent="0.7">
      <c r="A42" s="1079"/>
      <c r="B42" s="1120"/>
      <c r="C42" s="1120"/>
      <c r="D42" s="1120"/>
      <c r="E42" s="1120"/>
      <c r="F42" s="1120"/>
      <c r="G42" s="1120"/>
      <c r="H42" s="1120"/>
      <c r="I42" s="1120"/>
      <c r="J42" s="1120"/>
      <c r="K42" s="1120"/>
      <c r="L42" s="1087" t="s">
        <v>28</v>
      </c>
      <c r="M42" s="1087"/>
      <c r="N42" s="1087"/>
      <c r="O42" s="1087"/>
      <c r="P42" s="1022">
        <f>P40-V41</f>
        <v>0</v>
      </c>
      <c r="Q42" s="1023"/>
      <c r="R42" s="1023"/>
      <c r="S42" s="1023"/>
      <c r="T42" s="1023"/>
      <c r="U42" s="1023"/>
      <c r="V42" s="1023"/>
      <c r="W42" s="1023"/>
      <c r="X42" s="1024"/>
      <c r="AD42" s="1040"/>
      <c r="AE42" s="1060"/>
      <c r="AF42" s="1061"/>
      <c r="AG42" s="1061"/>
      <c r="AH42" s="1061"/>
      <c r="AI42" s="1061"/>
      <c r="AJ42" s="1061"/>
      <c r="AK42" s="1061"/>
      <c r="AL42" s="1061"/>
      <c r="AM42" s="1061"/>
      <c r="AN42" s="1062"/>
      <c r="AO42" s="1050" t="s">
        <v>28</v>
      </c>
      <c r="AP42" s="1051"/>
      <c r="AQ42" s="1051"/>
      <c r="AR42" s="1052"/>
      <c r="AS42" s="9"/>
      <c r="AT42" s="11"/>
      <c r="AU42" s="10"/>
      <c r="AV42" s="9"/>
      <c r="AW42" s="11"/>
      <c r="AX42" s="10"/>
    </row>
    <row r="43" spans="1:50" ht="17.45" customHeight="1" x14ac:dyDescent="0.7">
      <c r="A43" s="1079">
        <v>12</v>
      </c>
      <c r="B43" s="1121" t="s">
        <v>38</v>
      </c>
      <c r="C43" s="1122"/>
      <c r="D43" s="1122"/>
      <c r="E43" s="1122"/>
      <c r="F43" s="1122"/>
      <c r="G43" s="1122"/>
      <c r="H43" s="1122"/>
      <c r="I43" s="1122"/>
      <c r="J43" s="1122"/>
      <c r="K43" s="1123"/>
      <c r="L43" s="1106" t="s">
        <v>11</v>
      </c>
      <c r="M43" s="1106"/>
      <c r="N43" s="1106"/>
      <c r="O43" s="1106"/>
      <c r="P43" s="1025">
        <f>IFERROR(IF($AC$6=4,VLOOKUP($U$3,PAYMENT!$AG$8:$AT$19,AS43,0),0),0)</f>
        <v>0</v>
      </c>
      <c r="Q43" s="1026"/>
      <c r="R43" s="1026"/>
      <c r="S43" s="1026"/>
      <c r="T43" s="1026"/>
      <c r="U43" s="1026"/>
      <c r="V43" s="1026"/>
      <c r="W43" s="1026"/>
      <c r="X43" s="1027"/>
      <c r="Y43" s="295">
        <f>IFERROR(IF($AC$6=4,VLOOKUP($U$3,STUDENT!$T$9:$AO$20,18,0),0),0)</f>
        <v>0</v>
      </c>
      <c r="AD43" s="1038">
        <v>12</v>
      </c>
      <c r="AE43" s="1054" t="s">
        <v>38</v>
      </c>
      <c r="AF43" s="1055"/>
      <c r="AG43" s="1055"/>
      <c r="AH43" s="1055"/>
      <c r="AI43" s="1055"/>
      <c r="AJ43" s="1055"/>
      <c r="AK43" s="1055"/>
      <c r="AL43" s="1055"/>
      <c r="AM43" s="1055"/>
      <c r="AN43" s="1056"/>
      <c r="AO43" s="1050" t="s">
        <v>11</v>
      </c>
      <c r="AP43" s="1051"/>
      <c r="AQ43" s="1051"/>
      <c r="AR43" s="1052"/>
      <c r="AS43" s="9">
        <v>3</v>
      </c>
      <c r="AT43" s="7"/>
      <c r="AU43" s="10"/>
      <c r="AV43" s="9"/>
      <c r="AW43" s="11"/>
      <c r="AX43" s="10"/>
    </row>
    <row r="44" spans="1:50" ht="17.45" customHeight="1" x14ac:dyDescent="0.7">
      <c r="A44" s="1079"/>
      <c r="B44" s="1126" t="s">
        <v>32</v>
      </c>
      <c r="C44" s="1126"/>
      <c r="D44" s="1127"/>
      <c r="E44" s="503">
        <f>IF($Y$43&gt;=Y44,Y44,0)</f>
        <v>0</v>
      </c>
      <c r="F44" s="1124" t="str">
        <f>IFERROR(IF(E44&gt;=1,VLOOKUP($U$3,STUDENT!$T$9:$AO$20,Z44,0),""),"")</f>
        <v/>
      </c>
      <c r="G44" s="1124"/>
      <c r="H44" s="1124"/>
      <c r="I44" s="1124"/>
      <c r="J44" s="1124"/>
      <c r="K44" s="1125"/>
      <c r="L44" s="1106" t="s">
        <v>12</v>
      </c>
      <c r="M44" s="1106"/>
      <c r="N44" s="1106"/>
      <c r="O44" s="1106"/>
      <c r="P44" s="1025">
        <f>IFERROR(IF($AC$6=4,VLOOKUP($U$3,PAYMENT!$AG$8:$AT$19,AS44,0),0),0)</f>
        <v>0</v>
      </c>
      <c r="Q44" s="1026"/>
      <c r="R44" s="1026"/>
      <c r="S44" s="1026"/>
      <c r="T44" s="1026"/>
      <c r="U44" s="1026"/>
      <c r="V44" s="1026"/>
      <c r="W44" s="1026"/>
      <c r="X44" s="1027"/>
      <c r="Y44" s="295">
        <v>1</v>
      </c>
      <c r="Z44" s="295">
        <v>6</v>
      </c>
      <c r="AD44" s="1039"/>
      <c r="AE44" s="1044" t="s">
        <v>32</v>
      </c>
      <c r="AF44" s="1045"/>
      <c r="AG44" s="1045"/>
      <c r="AH44" s="12">
        <v>1</v>
      </c>
      <c r="AI44" s="1063">
        <f>IF($AB$1&gt;=AH44,$AA$1+AH44,0)</f>
        <v>0</v>
      </c>
      <c r="AJ44" s="1063"/>
      <c r="AK44" s="1063"/>
      <c r="AL44" s="1063"/>
      <c r="AM44" s="1063"/>
      <c r="AN44" s="1064"/>
      <c r="AO44" s="1050" t="s">
        <v>12</v>
      </c>
      <c r="AP44" s="1051"/>
      <c r="AQ44" s="1051"/>
      <c r="AR44" s="1052"/>
      <c r="AS44" s="9">
        <v>6</v>
      </c>
      <c r="AT44" s="7"/>
      <c r="AU44" s="10"/>
      <c r="AV44" s="9"/>
      <c r="AW44" s="11"/>
      <c r="AX44" s="10"/>
    </row>
    <row r="45" spans="1:50" ht="17.45" customHeight="1" x14ac:dyDescent="0.7">
      <c r="A45" s="1079"/>
      <c r="B45" s="1128"/>
      <c r="C45" s="1128"/>
      <c r="D45" s="1129"/>
      <c r="E45" s="503">
        <f t="shared" ref="E45:E47" si="14">IF($Y$43&gt;=Y45,Y45,0)</f>
        <v>0</v>
      </c>
      <c r="F45" s="1124" t="str">
        <f>IFERROR(IF(E45&gt;=1,VLOOKUP($U$3,STUDENT!$T$9:$AO$20,Z45,0),""),"")</f>
        <v/>
      </c>
      <c r="G45" s="1124"/>
      <c r="H45" s="1124"/>
      <c r="I45" s="1124"/>
      <c r="J45" s="1124"/>
      <c r="K45" s="1125"/>
      <c r="L45" s="1106" t="s">
        <v>13</v>
      </c>
      <c r="M45" s="1106"/>
      <c r="N45" s="1106"/>
      <c r="O45" s="1106"/>
      <c r="P45" s="1028">
        <f>P43+P44</f>
        <v>0</v>
      </c>
      <c r="Q45" s="1029"/>
      <c r="R45" s="1029"/>
      <c r="S45" s="1029"/>
      <c r="T45" s="1029"/>
      <c r="U45" s="1029"/>
      <c r="V45" s="1029"/>
      <c r="W45" s="1029"/>
      <c r="X45" s="1030"/>
      <c r="Y45" s="295">
        <v>2</v>
      </c>
      <c r="Z45" s="295">
        <v>7</v>
      </c>
      <c r="AD45" s="1039"/>
      <c r="AE45" s="1044"/>
      <c r="AF45" s="1045"/>
      <c r="AG45" s="1045"/>
      <c r="AH45" s="12">
        <v>2</v>
      </c>
      <c r="AI45" s="1063">
        <f t="shared" ref="AI45:AI47" si="15">IF($AB$1&gt;=AH45,$AA$1+AH45,0)</f>
        <v>0</v>
      </c>
      <c r="AJ45" s="1063"/>
      <c r="AK45" s="1063"/>
      <c r="AL45" s="1063"/>
      <c r="AM45" s="1063"/>
      <c r="AN45" s="1064"/>
      <c r="AO45" s="1050" t="s">
        <v>13</v>
      </c>
      <c r="AP45" s="1051"/>
      <c r="AQ45" s="1051"/>
      <c r="AR45" s="1052"/>
      <c r="AS45" s="9"/>
      <c r="AT45" s="11"/>
      <c r="AU45" s="10"/>
      <c r="AV45" s="9"/>
      <c r="AW45" s="11"/>
      <c r="AX45" s="10"/>
    </row>
    <row r="46" spans="1:50" ht="17.45" customHeight="1" x14ac:dyDescent="0.7">
      <c r="A46" s="1079"/>
      <c r="B46" s="1128"/>
      <c r="C46" s="1128"/>
      <c r="D46" s="1129"/>
      <c r="E46" s="503">
        <f t="shared" si="14"/>
        <v>0</v>
      </c>
      <c r="F46" s="1124" t="str">
        <f>IFERROR(IF(E46&gt;=1,VLOOKUP($U$3,STUDENT!$T$9:$AO$20,Z46,0),""),"")</f>
        <v/>
      </c>
      <c r="G46" s="1124"/>
      <c r="H46" s="1124"/>
      <c r="I46" s="1124"/>
      <c r="J46" s="1124"/>
      <c r="K46" s="1125"/>
      <c r="L46" s="1106" t="s">
        <v>29</v>
      </c>
      <c r="M46" s="1106"/>
      <c r="N46" s="1106"/>
      <c r="O46" s="1106"/>
      <c r="P46" s="1025">
        <f>IFERROR(IF($AC$6=4,VLOOKUP($U$3,PAYMENT!$AG$8:$AT$19,AS46,0),0),0)</f>
        <v>0</v>
      </c>
      <c r="Q46" s="1026"/>
      <c r="R46" s="1026"/>
      <c r="S46" s="1026"/>
      <c r="T46" s="1026"/>
      <c r="U46" s="1026"/>
      <c r="V46" s="1026"/>
      <c r="W46" s="1026"/>
      <c r="X46" s="1027"/>
      <c r="Y46" s="295">
        <v>3</v>
      </c>
      <c r="Z46" s="295">
        <v>8</v>
      </c>
      <c r="AD46" s="1039"/>
      <c r="AE46" s="1044"/>
      <c r="AF46" s="1045"/>
      <c r="AG46" s="1045"/>
      <c r="AH46" s="12">
        <v>3</v>
      </c>
      <c r="AI46" s="1063">
        <f t="shared" si="15"/>
        <v>0</v>
      </c>
      <c r="AJ46" s="1063"/>
      <c r="AK46" s="1063"/>
      <c r="AL46" s="1063"/>
      <c r="AM46" s="1063"/>
      <c r="AN46" s="1064"/>
      <c r="AO46" s="1050" t="s">
        <v>29</v>
      </c>
      <c r="AP46" s="1051"/>
      <c r="AQ46" s="1051"/>
      <c r="AR46" s="1052"/>
      <c r="AS46" s="9">
        <v>11</v>
      </c>
      <c r="AT46" s="7"/>
      <c r="AU46" s="10"/>
      <c r="AV46" s="9"/>
      <c r="AW46" s="11"/>
      <c r="AX46" s="10"/>
    </row>
    <row r="47" spans="1:50" ht="17.45" customHeight="1" x14ac:dyDescent="0.7">
      <c r="A47" s="1079"/>
      <c r="B47" s="1128"/>
      <c r="C47" s="1128"/>
      <c r="D47" s="1129"/>
      <c r="E47" s="503">
        <f t="shared" si="14"/>
        <v>0</v>
      </c>
      <c r="F47" s="1124" t="str">
        <f>IFERROR(IF(E47&gt;=1,VLOOKUP($U$3,STUDENT!$T$9:$AO$20,Z47,0),""),"")</f>
        <v/>
      </c>
      <c r="G47" s="1124"/>
      <c r="H47" s="1124"/>
      <c r="I47" s="1124"/>
      <c r="J47" s="1124"/>
      <c r="K47" s="1125"/>
      <c r="L47" s="1106" t="s">
        <v>28</v>
      </c>
      <c r="M47" s="1106"/>
      <c r="N47" s="1106"/>
      <c r="O47" s="1106"/>
      <c r="P47" s="1028">
        <f>P45-P46</f>
        <v>0</v>
      </c>
      <c r="Q47" s="1029"/>
      <c r="R47" s="1029"/>
      <c r="S47" s="1029"/>
      <c r="T47" s="1029"/>
      <c r="U47" s="1029"/>
      <c r="V47" s="1029"/>
      <c r="W47" s="1029"/>
      <c r="X47" s="1030"/>
      <c r="Y47" s="295">
        <v>4</v>
      </c>
      <c r="Z47" s="295">
        <v>9</v>
      </c>
      <c r="AD47" s="1040"/>
      <c r="AE47" s="1047"/>
      <c r="AF47" s="1048"/>
      <c r="AG47" s="1048"/>
      <c r="AH47" s="13">
        <v>4</v>
      </c>
      <c r="AI47" s="1065">
        <f t="shared" si="15"/>
        <v>0</v>
      </c>
      <c r="AJ47" s="1065"/>
      <c r="AK47" s="1065"/>
      <c r="AL47" s="1065"/>
      <c r="AM47" s="1065"/>
      <c r="AN47" s="1066"/>
      <c r="AO47" s="1050" t="s">
        <v>28</v>
      </c>
      <c r="AP47" s="1051"/>
      <c r="AQ47" s="1051"/>
      <c r="AR47" s="1052"/>
      <c r="AS47" s="9"/>
      <c r="AT47" s="11"/>
      <c r="AU47" s="10"/>
      <c r="AV47" s="9"/>
      <c r="AW47" s="11"/>
      <c r="AX47" s="10"/>
    </row>
    <row r="48" spans="1:50" ht="17.45" customHeight="1" x14ac:dyDescent="0.7">
      <c r="A48" s="1079">
        <v>13</v>
      </c>
      <c r="B48" s="1080" t="s">
        <v>31</v>
      </c>
      <c r="C48" s="1080"/>
      <c r="D48" s="1080"/>
      <c r="E48" s="1080"/>
      <c r="F48" s="1080"/>
      <c r="G48" s="1080"/>
      <c r="H48" s="1080"/>
      <c r="I48" s="1080"/>
      <c r="J48" s="1080"/>
      <c r="K48" s="1080"/>
      <c r="L48" s="1081" t="s">
        <v>30</v>
      </c>
      <c r="M48" s="1081"/>
      <c r="N48" s="1081"/>
      <c r="O48" s="1081"/>
      <c r="P48" s="1033">
        <f>IFERROR(IF($AC$6=4,VLOOKUP($U$3,STUDENT!$T$9:$AO$20,AS48,0),0),0)</f>
        <v>0</v>
      </c>
      <c r="Q48" s="1033"/>
      <c r="R48" s="1033"/>
      <c r="S48" s="1033">
        <f>IFERROR(IF($AC$6=4,VLOOKUP($U$3,STUDENT!$T$9:$AO$20,AV48,0),0),0)</f>
        <v>0</v>
      </c>
      <c r="T48" s="1033"/>
      <c r="U48" s="1033"/>
      <c r="V48" s="1033">
        <f t="shared" si="0"/>
        <v>0</v>
      </c>
      <c r="W48" s="1033"/>
      <c r="X48" s="1033"/>
      <c r="AD48" s="1038">
        <v>13</v>
      </c>
      <c r="AE48" s="1041" t="s">
        <v>31</v>
      </c>
      <c r="AF48" s="1042"/>
      <c r="AG48" s="1042"/>
      <c r="AH48" s="1042"/>
      <c r="AI48" s="1042"/>
      <c r="AJ48" s="1042"/>
      <c r="AK48" s="1042"/>
      <c r="AL48" s="1042"/>
      <c r="AM48" s="1042"/>
      <c r="AN48" s="1043"/>
      <c r="AO48" s="1050" t="s">
        <v>30</v>
      </c>
      <c r="AP48" s="1051"/>
      <c r="AQ48" s="1051"/>
      <c r="AR48" s="1052"/>
      <c r="AS48" s="9">
        <v>12</v>
      </c>
      <c r="AT48" s="7"/>
      <c r="AU48" s="10"/>
      <c r="AV48" s="9">
        <v>13</v>
      </c>
      <c r="AW48" s="7"/>
      <c r="AX48" s="10"/>
    </row>
    <row r="49" spans="1:50" ht="17.45" customHeight="1" x14ac:dyDescent="0.7">
      <c r="A49" s="1079"/>
      <c r="B49" s="1080"/>
      <c r="C49" s="1080"/>
      <c r="D49" s="1080"/>
      <c r="E49" s="1080"/>
      <c r="F49" s="1080"/>
      <c r="G49" s="1080"/>
      <c r="H49" s="1080"/>
      <c r="I49" s="1080"/>
      <c r="J49" s="1080"/>
      <c r="K49" s="1080"/>
      <c r="L49" s="1081" t="s">
        <v>39</v>
      </c>
      <c r="M49" s="1081"/>
      <c r="N49" s="1081"/>
      <c r="O49" s="1081"/>
      <c r="P49" s="1034">
        <f>IFERROR(IF($AC$6=4,VLOOKUP($U$3,DATA!$U$8:$BL$19,AS49,0),0),0)</f>
        <v>0</v>
      </c>
      <c r="Q49" s="1034"/>
      <c r="R49" s="1034"/>
      <c r="S49" s="1034">
        <f>IFERROR(IF($AC$6=4,VLOOKUP($U$3,DATA!$U$8:$BL$19,AV49,0),0),0)</f>
        <v>0</v>
      </c>
      <c r="T49" s="1034"/>
      <c r="U49" s="1034"/>
      <c r="V49" s="1034">
        <f t="shared" si="0"/>
        <v>0</v>
      </c>
      <c r="W49" s="1034"/>
      <c r="X49" s="1034"/>
      <c r="AD49" s="1039"/>
      <c r="AE49" s="1044"/>
      <c r="AF49" s="1045"/>
      <c r="AG49" s="1045"/>
      <c r="AH49" s="1045"/>
      <c r="AI49" s="1045"/>
      <c r="AJ49" s="1045"/>
      <c r="AK49" s="1045"/>
      <c r="AL49" s="1045"/>
      <c r="AM49" s="1045"/>
      <c r="AN49" s="1046"/>
      <c r="AO49" s="1050" t="s">
        <v>39</v>
      </c>
      <c r="AP49" s="1051"/>
      <c r="AQ49" s="1051"/>
      <c r="AR49" s="1052"/>
      <c r="AS49" s="9">
        <v>18</v>
      </c>
      <c r="AT49" s="7"/>
      <c r="AU49" s="10"/>
      <c r="AV49" s="9">
        <v>19</v>
      </c>
      <c r="AW49" s="7"/>
      <c r="AX49" s="10"/>
    </row>
    <row r="50" spans="1:50" ht="17.45" customHeight="1" x14ac:dyDescent="0.7">
      <c r="A50" s="1079"/>
      <c r="B50" s="1080"/>
      <c r="C50" s="1080"/>
      <c r="D50" s="1080"/>
      <c r="E50" s="1080"/>
      <c r="F50" s="1080"/>
      <c r="G50" s="1080"/>
      <c r="H50" s="1080"/>
      <c r="I50" s="1080"/>
      <c r="J50" s="1080"/>
      <c r="K50" s="1080"/>
      <c r="L50" s="1081" t="s">
        <v>11</v>
      </c>
      <c r="M50" s="1081"/>
      <c r="N50" s="1081"/>
      <c r="O50" s="1081"/>
      <c r="P50" s="1035">
        <f>IFERROR(IF($AC$6=4,VLOOKUP($U$3,PAYMENT!$AG$8:$AT$19,AS50,0),0),0)</f>
        <v>0</v>
      </c>
      <c r="Q50" s="1036"/>
      <c r="R50" s="1036"/>
      <c r="S50" s="1036"/>
      <c r="T50" s="1036"/>
      <c r="U50" s="1036"/>
      <c r="V50" s="1036"/>
      <c r="W50" s="1036"/>
      <c r="X50" s="1037"/>
      <c r="AD50" s="1039"/>
      <c r="AE50" s="1044"/>
      <c r="AF50" s="1045"/>
      <c r="AG50" s="1045"/>
      <c r="AH50" s="1045"/>
      <c r="AI50" s="1045"/>
      <c r="AJ50" s="1045"/>
      <c r="AK50" s="1045"/>
      <c r="AL50" s="1045"/>
      <c r="AM50" s="1045"/>
      <c r="AN50" s="1046"/>
      <c r="AO50" s="1050" t="s">
        <v>11</v>
      </c>
      <c r="AP50" s="1051"/>
      <c r="AQ50" s="1051"/>
      <c r="AR50" s="1052"/>
      <c r="AS50" s="9">
        <v>4</v>
      </c>
      <c r="AT50" s="7"/>
      <c r="AU50" s="10"/>
      <c r="AV50" s="9"/>
      <c r="AW50" s="11"/>
      <c r="AX50" s="10"/>
    </row>
    <row r="51" spans="1:50" ht="17.45" customHeight="1" x14ac:dyDescent="0.7">
      <c r="A51" s="1079"/>
      <c r="B51" s="1080"/>
      <c r="C51" s="1080"/>
      <c r="D51" s="1080"/>
      <c r="E51" s="1080"/>
      <c r="F51" s="1080"/>
      <c r="G51" s="1080"/>
      <c r="H51" s="1080"/>
      <c r="I51" s="1080"/>
      <c r="J51" s="1080"/>
      <c r="K51" s="1080"/>
      <c r="L51" s="1081" t="s">
        <v>12</v>
      </c>
      <c r="M51" s="1081"/>
      <c r="N51" s="1081"/>
      <c r="O51" s="1081"/>
      <c r="P51" s="1035">
        <f>IFERROR(IF($AC$6=4,VLOOKUP($U$3,PAYMENT!$AG$8:$AT$19,AS51,0),0),0)</f>
        <v>0</v>
      </c>
      <c r="Q51" s="1036"/>
      <c r="R51" s="1036"/>
      <c r="S51" s="1036"/>
      <c r="T51" s="1036"/>
      <c r="U51" s="1036"/>
      <c r="V51" s="1036"/>
      <c r="W51" s="1036"/>
      <c r="X51" s="1037"/>
      <c r="AD51" s="1039"/>
      <c r="AE51" s="1044"/>
      <c r="AF51" s="1045"/>
      <c r="AG51" s="1045"/>
      <c r="AH51" s="1045"/>
      <c r="AI51" s="1045"/>
      <c r="AJ51" s="1045"/>
      <c r="AK51" s="1045"/>
      <c r="AL51" s="1045"/>
      <c r="AM51" s="1045"/>
      <c r="AN51" s="1046"/>
      <c r="AO51" s="1050" t="s">
        <v>12</v>
      </c>
      <c r="AP51" s="1051"/>
      <c r="AQ51" s="1051"/>
      <c r="AR51" s="1052"/>
      <c r="AS51" s="9">
        <v>7</v>
      </c>
      <c r="AT51" s="7"/>
      <c r="AU51" s="10"/>
      <c r="AV51" s="9"/>
      <c r="AW51" s="11"/>
      <c r="AX51" s="10"/>
    </row>
    <row r="52" spans="1:50" ht="17.45" customHeight="1" x14ac:dyDescent="0.7">
      <c r="A52" s="1079"/>
      <c r="B52" s="1080"/>
      <c r="C52" s="1080"/>
      <c r="D52" s="1080"/>
      <c r="E52" s="1080"/>
      <c r="F52" s="1080"/>
      <c r="G52" s="1080"/>
      <c r="H52" s="1080"/>
      <c r="I52" s="1080"/>
      <c r="J52" s="1080"/>
      <c r="K52" s="1080"/>
      <c r="L52" s="1081" t="s">
        <v>13</v>
      </c>
      <c r="M52" s="1081"/>
      <c r="N52" s="1081"/>
      <c r="O52" s="1081"/>
      <c r="P52" s="1016">
        <f>P50+P51</f>
        <v>0</v>
      </c>
      <c r="Q52" s="1017"/>
      <c r="R52" s="1017"/>
      <c r="S52" s="1017"/>
      <c r="T52" s="1017"/>
      <c r="U52" s="1017"/>
      <c r="V52" s="1017"/>
      <c r="W52" s="1017"/>
      <c r="X52" s="1018"/>
      <c r="AD52" s="1039"/>
      <c r="AE52" s="1044"/>
      <c r="AF52" s="1045"/>
      <c r="AG52" s="1045"/>
      <c r="AH52" s="1045"/>
      <c r="AI52" s="1045"/>
      <c r="AJ52" s="1045"/>
      <c r="AK52" s="1045"/>
      <c r="AL52" s="1045"/>
      <c r="AM52" s="1045"/>
      <c r="AN52" s="1046"/>
      <c r="AO52" s="1050" t="s">
        <v>13</v>
      </c>
      <c r="AP52" s="1051"/>
      <c r="AQ52" s="1051"/>
      <c r="AR52" s="1052"/>
      <c r="AS52" s="9"/>
      <c r="AT52" s="11"/>
      <c r="AU52" s="10"/>
      <c r="AV52" s="9"/>
      <c r="AW52" s="11"/>
      <c r="AX52" s="10"/>
    </row>
    <row r="53" spans="1:50" ht="17.45" customHeight="1" x14ac:dyDescent="0.7">
      <c r="A53" s="1079"/>
      <c r="B53" s="1080"/>
      <c r="C53" s="1080"/>
      <c r="D53" s="1080"/>
      <c r="E53" s="1080"/>
      <c r="F53" s="1080"/>
      <c r="G53" s="1080"/>
      <c r="H53" s="1080"/>
      <c r="I53" s="1080"/>
      <c r="J53" s="1080"/>
      <c r="K53" s="1080"/>
      <c r="L53" s="1081" t="s">
        <v>29</v>
      </c>
      <c r="M53" s="1081"/>
      <c r="N53" s="1081"/>
      <c r="O53" s="1081"/>
      <c r="P53" s="1053">
        <f>IFERROR(IF($AC$6=4,VLOOKUP($U$3,PAYMENT!$AG$8:$AT$19,AS53,0),0),0)</f>
        <v>0</v>
      </c>
      <c r="Q53" s="1053"/>
      <c r="R53" s="1053"/>
      <c r="S53" s="1053">
        <f>IFERROR(IF($AC$6=4,VLOOKUP($U$3,PAYMENT!$AG$8:$AT$19,AV53,0),0),0)</f>
        <v>0</v>
      </c>
      <c r="T53" s="1053"/>
      <c r="U53" s="1053"/>
      <c r="V53" s="1053">
        <f>ROUND(P53+S53,0)</f>
        <v>0</v>
      </c>
      <c r="W53" s="1053"/>
      <c r="X53" s="1053"/>
      <c r="AD53" s="1039"/>
      <c r="AE53" s="1044"/>
      <c r="AF53" s="1045"/>
      <c r="AG53" s="1045"/>
      <c r="AH53" s="1045"/>
      <c r="AI53" s="1045"/>
      <c r="AJ53" s="1045"/>
      <c r="AK53" s="1045"/>
      <c r="AL53" s="1045"/>
      <c r="AM53" s="1045"/>
      <c r="AN53" s="1046"/>
      <c r="AO53" s="1050" t="s">
        <v>29</v>
      </c>
      <c r="AP53" s="1051"/>
      <c r="AQ53" s="1051"/>
      <c r="AR53" s="1052"/>
      <c r="AS53" s="9">
        <v>12</v>
      </c>
      <c r="AT53" s="7"/>
      <c r="AU53" s="10"/>
      <c r="AV53" s="9">
        <v>13</v>
      </c>
      <c r="AW53" s="7"/>
      <c r="AX53" s="10"/>
    </row>
    <row r="54" spans="1:50" ht="17.45" customHeight="1" x14ac:dyDescent="0.7">
      <c r="A54" s="1079"/>
      <c r="B54" s="1080"/>
      <c r="C54" s="1080"/>
      <c r="D54" s="1080"/>
      <c r="E54" s="1080"/>
      <c r="F54" s="1080"/>
      <c r="G54" s="1080"/>
      <c r="H54" s="1080"/>
      <c r="I54" s="1080"/>
      <c r="J54" s="1080"/>
      <c r="K54" s="1080"/>
      <c r="L54" s="1081" t="s">
        <v>28</v>
      </c>
      <c r="M54" s="1081"/>
      <c r="N54" s="1081"/>
      <c r="O54" s="1081"/>
      <c r="P54" s="1016">
        <f>P52-V53</f>
        <v>0</v>
      </c>
      <c r="Q54" s="1017"/>
      <c r="R54" s="1017"/>
      <c r="S54" s="1017"/>
      <c r="T54" s="1017"/>
      <c r="U54" s="1017"/>
      <c r="V54" s="1017"/>
      <c r="W54" s="1017"/>
      <c r="X54" s="1018"/>
      <c r="AD54" s="1040"/>
      <c r="AE54" s="1047"/>
      <c r="AF54" s="1048"/>
      <c r="AG54" s="1048"/>
      <c r="AH54" s="1048"/>
      <c r="AI54" s="1048"/>
      <c r="AJ54" s="1048"/>
      <c r="AK54" s="1048"/>
      <c r="AL54" s="1048"/>
      <c r="AM54" s="1048"/>
      <c r="AN54" s="1049"/>
      <c r="AO54" s="1050" t="s">
        <v>28</v>
      </c>
      <c r="AP54" s="1051"/>
      <c r="AQ54" s="1051"/>
      <c r="AR54" s="1052"/>
      <c r="AS54" s="9"/>
      <c r="AT54" s="7"/>
      <c r="AU54" s="10"/>
      <c r="AV54" s="9"/>
      <c r="AW54" s="11"/>
      <c r="AX54" s="10"/>
    </row>
    <row r="55" spans="1:50" ht="15.75" customHeight="1" x14ac:dyDescent="0.7">
      <c r="A55" s="1109" t="s">
        <v>14</v>
      </c>
      <c r="B55" s="1109"/>
      <c r="C55" s="1109"/>
      <c r="D55" s="1109"/>
      <c r="E55" s="1109"/>
      <c r="F55" s="1109"/>
      <c r="G55" s="1109"/>
      <c r="H55" s="1109"/>
      <c r="I55" s="1109"/>
      <c r="J55" s="1109"/>
      <c r="K55" s="1109"/>
      <c r="L55" s="1109"/>
      <c r="M55" s="1109"/>
      <c r="N55" s="1109"/>
      <c r="O55" s="1109"/>
      <c r="P55" s="1109"/>
      <c r="Q55" s="1109"/>
      <c r="R55" s="1109"/>
      <c r="S55" s="1109"/>
      <c r="T55" s="1109"/>
      <c r="U55" s="1109"/>
      <c r="V55" s="1109"/>
      <c r="W55" s="1109"/>
      <c r="X55" s="1109"/>
    </row>
    <row r="56" spans="1:50" ht="24" customHeight="1" x14ac:dyDescent="0.8">
      <c r="A56" s="1108" t="s">
        <v>15</v>
      </c>
      <c r="B56" s="1108"/>
      <c r="C56" s="1108"/>
      <c r="D56" s="1108"/>
      <c r="E56" s="1108"/>
      <c r="F56" s="1108"/>
      <c r="G56" s="1013">
        <f>IFERROR(IF($AC$6=4,VLOOKUP($U$3,PROFILE!H4:J4,3,0),0),0)</f>
        <v>0</v>
      </c>
      <c r="H56" s="1013"/>
      <c r="I56" s="1013"/>
      <c r="J56" s="1013"/>
      <c r="K56" s="1015" t="s">
        <v>160</v>
      </c>
      <c r="L56" s="1015"/>
      <c r="M56" s="1015"/>
      <c r="N56" s="1014">
        <f>IFERROR(IF($AC$6=4,VLOOKUP($U$3,STUDENT!$T$9:$AO$20,19,0),0),0)</f>
        <v>0</v>
      </c>
      <c r="O56" s="1014"/>
      <c r="P56" s="1014"/>
      <c r="Q56" s="504"/>
      <c r="R56" s="1107" t="s">
        <v>16</v>
      </c>
      <c r="S56" s="1107"/>
      <c r="T56" s="1107"/>
      <c r="U56" s="1107"/>
      <c r="V56" s="1107"/>
      <c r="W56" s="1107"/>
      <c r="X56" s="1107"/>
    </row>
  </sheetData>
  <sheetProtection password="FE5A" sheet="1" objects="1" scenarios="1"/>
  <mergeCells count="316">
    <mergeCell ref="R56:X56"/>
    <mergeCell ref="A56:F56"/>
    <mergeCell ref="A55:X55"/>
    <mergeCell ref="A2:D2"/>
    <mergeCell ref="A3:E3"/>
    <mergeCell ref="E2:Q2"/>
    <mergeCell ref="F3:Q3"/>
    <mergeCell ref="R2:T2"/>
    <mergeCell ref="R3:T3"/>
    <mergeCell ref="U2:X2"/>
    <mergeCell ref="U3:X3"/>
    <mergeCell ref="L53:O53"/>
    <mergeCell ref="L54:O54"/>
    <mergeCell ref="B38:K42"/>
    <mergeCell ref="B43:K43"/>
    <mergeCell ref="B48:K54"/>
    <mergeCell ref="F44:K44"/>
    <mergeCell ref="F45:K45"/>
    <mergeCell ref="F46:K46"/>
    <mergeCell ref="F47:K47"/>
    <mergeCell ref="B44:D47"/>
    <mergeCell ref="L48:O48"/>
    <mergeCell ref="L49:O49"/>
    <mergeCell ref="L50:O50"/>
    <mergeCell ref="L51:O51"/>
    <mergeCell ref="L52:O52"/>
    <mergeCell ref="L43:O43"/>
    <mergeCell ref="L44:O44"/>
    <mergeCell ref="L45:O45"/>
    <mergeCell ref="L46:O46"/>
    <mergeCell ref="L47:O47"/>
    <mergeCell ref="L38:O38"/>
    <mergeCell ref="L39:O39"/>
    <mergeCell ref="L40:O40"/>
    <mergeCell ref="L41:O41"/>
    <mergeCell ref="L42:O42"/>
    <mergeCell ref="B18:K22"/>
    <mergeCell ref="B23:K27"/>
    <mergeCell ref="B28:K32"/>
    <mergeCell ref="B33:K37"/>
    <mergeCell ref="A8:A12"/>
    <mergeCell ref="A13:A17"/>
    <mergeCell ref="A18:A22"/>
    <mergeCell ref="A23:A27"/>
    <mergeCell ref="A28:A32"/>
    <mergeCell ref="A33:A37"/>
    <mergeCell ref="L35:M37"/>
    <mergeCell ref="N35:O35"/>
    <mergeCell ref="P35:R35"/>
    <mergeCell ref="N32:O32"/>
    <mergeCell ref="P32:R32"/>
    <mergeCell ref="B13:K17"/>
    <mergeCell ref="S35:U35"/>
    <mergeCell ref="V35:X35"/>
    <mergeCell ref="N36:O36"/>
    <mergeCell ref="P36:R36"/>
    <mergeCell ref="S36:U36"/>
    <mergeCell ref="V36:X36"/>
    <mergeCell ref="N37:O37"/>
    <mergeCell ref="P37:R37"/>
    <mergeCell ref="S37:U37"/>
    <mergeCell ref="V37:X37"/>
    <mergeCell ref="S32:U32"/>
    <mergeCell ref="V32:X32"/>
    <mergeCell ref="L33:M34"/>
    <mergeCell ref="N33:O33"/>
    <mergeCell ref="P33:R33"/>
    <mergeCell ref="S33:U33"/>
    <mergeCell ref="V33:X33"/>
    <mergeCell ref="N34:O34"/>
    <mergeCell ref="P34:R34"/>
    <mergeCell ref="S34:U34"/>
    <mergeCell ref="V34:X34"/>
    <mergeCell ref="V30:X30"/>
    <mergeCell ref="N31:O31"/>
    <mergeCell ref="P31:R31"/>
    <mergeCell ref="S31:U31"/>
    <mergeCell ref="V31:X31"/>
    <mergeCell ref="V27:X27"/>
    <mergeCell ref="L28:M29"/>
    <mergeCell ref="N28:O28"/>
    <mergeCell ref="P28:R28"/>
    <mergeCell ref="S28:U28"/>
    <mergeCell ref="V28:X28"/>
    <mergeCell ref="N29:O29"/>
    <mergeCell ref="P29:R29"/>
    <mergeCell ref="S29:U29"/>
    <mergeCell ref="V29:X29"/>
    <mergeCell ref="V25:X25"/>
    <mergeCell ref="N26:O26"/>
    <mergeCell ref="P26:R26"/>
    <mergeCell ref="S26:U26"/>
    <mergeCell ref="V26:X26"/>
    <mergeCell ref="V22:X22"/>
    <mergeCell ref="L23:M24"/>
    <mergeCell ref="N23:O23"/>
    <mergeCell ref="P23:R23"/>
    <mergeCell ref="S23:U23"/>
    <mergeCell ref="V23:X23"/>
    <mergeCell ref="N24:O24"/>
    <mergeCell ref="P24:R24"/>
    <mergeCell ref="S24:U24"/>
    <mergeCell ref="V24:X24"/>
    <mergeCell ref="V20:X20"/>
    <mergeCell ref="N21:O21"/>
    <mergeCell ref="P21:R21"/>
    <mergeCell ref="S21:U21"/>
    <mergeCell ref="V21:X21"/>
    <mergeCell ref="V17:X17"/>
    <mergeCell ref="L18:M19"/>
    <mergeCell ref="N18:O18"/>
    <mergeCell ref="P18:R18"/>
    <mergeCell ref="S18:U18"/>
    <mergeCell ref="V18:X18"/>
    <mergeCell ref="N19:O19"/>
    <mergeCell ref="P19:R19"/>
    <mergeCell ref="S19:U19"/>
    <mergeCell ref="V19:X19"/>
    <mergeCell ref="V15:X15"/>
    <mergeCell ref="N16:O16"/>
    <mergeCell ref="P16:R16"/>
    <mergeCell ref="S16:U16"/>
    <mergeCell ref="V16:X16"/>
    <mergeCell ref="V13:X13"/>
    <mergeCell ref="N14:O14"/>
    <mergeCell ref="P14:R14"/>
    <mergeCell ref="S14:U14"/>
    <mergeCell ref="V14:X14"/>
    <mergeCell ref="V12:X12"/>
    <mergeCell ref="B7:O7"/>
    <mergeCell ref="V8:X8"/>
    <mergeCell ref="P9:R9"/>
    <mergeCell ref="S9:U9"/>
    <mergeCell ref="V9:X9"/>
    <mergeCell ref="P10:R10"/>
    <mergeCell ref="S10:U10"/>
    <mergeCell ref="V10:X10"/>
    <mergeCell ref="N11:O11"/>
    <mergeCell ref="N12:O12"/>
    <mergeCell ref="P8:R8"/>
    <mergeCell ref="B8:K12"/>
    <mergeCell ref="V11:X11"/>
    <mergeCell ref="P12:R12"/>
    <mergeCell ref="P5:R5"/>
    <mergeCell ref="S5:U5"/>
    <mergeCell ref="P6:R6"/>
    <mergeCell ref="B6:O6"/>
    <mergeCell ref="B5:O5"/>
    <mergeCell ref="L13:M14"/>
    <mergeCell ref="N13:O13"/>
    <mergeCell ref="P13:R13"/>
    <mergeCell ref="S12:U12"/>
    <mergeCell ref="A48:A54"/>
    <mergeCell ref="S8:U8"/>
    <mergeCell ref="P11:R11"/>
    <mergeCell ref="S11:U11"/>
    <mergeCell ref="S13:U13"/>
    <mergeCell ref="L15:M17"/>
    <mergeCell ref="N15:O15"/>
    <mergeCell ref="P15:R15"/>
    <mergeCell ref="S15:U15"/>
    <mergeCell ref="N17:O17"/>
    <mergeCell ref="S17:U17"/>
    <mergeCell ref="S22:U22"/>
    <mergeCell ref="S25:U25"/>
    <mergeCell ref="S27:U27"/>
    <mergeCell ref="S30:U30"/>
    <mergeCell ref="P17:R17"/>
    <mergeCell ref="N22:O22"/>
    <mergeCell ref="P22:R22"/>
    <mergeCell ref="L25:M27"/>
    <mergeCell ref="N25:O25"/>
    <mergeCell ref="P25:R25"/>
    <mergeCell ref="N27:O27"/>
    <mergeCell ref="P27:R27"/>
    <mergeCell ref="A38:A42"/>
    <mergeCell ref="A1:X1"/>
    <mergeCell ref="V4:X4"/>
    <mergeCell ref="V5:X5"/>
    <mergeCell ref="S6:U6"/>
    <mergeCell ref="V6:X6"/>
    <mergeCell ref="P7:R7"/>
    <mergeCell ref="S7:U7"/>
    <mergeCell ref="V7:X7"/>
    <mergeCell ref="A43:A47"/>
    <mergeCell ref="L20:M22"/>
    <mergeCell ref="N20:O20"/>
    <mergeCell ref="P20:R20"/>
    <mergeCell ref="S20:U20"/>
    <mergeCell ref="L30:M32"/>
    <mergeCell ref="N30:O30"/>
    <mergeCell ref="P30:R30"/>
    <mergeCell ref="B4:O4"/>
    <mergeCell ref="P4:R4"/>
    <mergeCell ref="S4:U4"/>
    <mergeCell ref="L8:M9"/>
    <mergeCell ref="L10:M12"/>
    <mergeCell ref="N8:O8"/>
    <mergeCell ref="N9:O9"/>
    <mergeCell ref="N10:O10"/>
    <mergeCell ref="AE4:AR4"/>
    <mergeCell ref="AS4:AU4"/>
    <mergeCell ref="AV4:AX4"/>
    <mergeCell ref="AE5:AR5"/>
    <mergeCell ref="AE6:AR6"/>
    <mergeCell ref="AE7:AR7"/>
    <mergeCell ref="AD8:AD12"/>
    <mergeCell ref="AE8:AN12"/>
    <mergeCell ref="AO8:AP9"/>
    <mergeCell ref="AQ8:AR8"/>
    <mergeCell ref="AQ9:AR9"/>
    <mergeCell ref="AO10:AP12"/>
    <mergeCell ref="AQ10:AR10"/>
    <mergeCell ref="AQ11:AR11"/>
    <mergeCell ref="AQ12:AR12"/>
    <mergeCell ref="AD13:AD17"/>
    <mergeCell ref="AE13:AN17"/>
    <mergeCell ref="AO13:AP14"/>
    <mergeCell ref="AQ13:AR13"/>
    <mergeCell ref="AQ14:AR14"/>
    <mergeCell ref="AO15:AP17"/>
    <mergeCell ref="AQ15:AR15"/>
    <mergeCell ref="AQ16:AR16"/>
    <mergeCell ref="AQ17:AR17"/>
    <mergeCell ref="AD18:AD22"/>
    <mergeCell ref="AE18:AN22"/>
    <mergeCell ref="AO18:AP19"/>
    <mergeCell ref="AQ18:AR18"/>
    <mergeCell ref="AQ19:AR19"/>
    <mergeCell ref="AO20:AP22"/>
    <mergeCell ref="AQ20:AR20"/>
    <mergeCell ref="AQ21:AR21"/>
    <mergeCell ref="AQ22:AR22"/>
    <mergeCell ref="AD23:AD27"/>
    <mergeCell ref="AE23:AN27"/>
    <mergeCell ref="AO23:AP24"/>
    <mergeCell ref="AQ23:AR23"/>
    <mergeCell ref="AQ24:AR24"/>
    <mergeCell ref="AO25:AP27"/>
    <mergeCell ref="AQ25:AR25"/>
    <mergeCell ref="AQ26:AR26"/>
    <mergeCell ref="AQ27:AR27"/>
    <mergeCell ref="AD28:AD32"/>
    <mergeCell ref="AE28:AN32"/>
    <mergeCell ref="AO28:AP29"/>
    <mergeCell ref="AQ28:AR28"/>
    <mergeCell ref="AQ29:AR29"/>
    <mergeCell ref="AO30:AP32"/>
    <mergeCell ref="AQ30:AR30"/>
    <mergeCell ref="AQ31:AR31"/>
    <mergeCell ref="AQ32:AR32"/>
    <mergeCell ref="AD33:AD37"/>
    <mergeCell ref="AE33:AN37"/>
    <mergeCell ref="AO33:AP34"/>
    <mergeCell ref="AQ33:AR33"/>
    <mergeCell ref="AQ34:AR34"/>
    <mergeCell ref="AO35:AP37"/>
    <mergeCell ref="AQ35:AR35"/>
    <mergeCell ref="AQ36:AR36"/>
    <mergeCell ref="AQ37:AR37"/>
    <mergeCell ref="AD38:AD42"/>
    <mergeCell ref="AE38:AN42"/>
    <mergeCell ref="AO38:AR38"/>
    <mergeCell ref="AO39:AR39"/>
    <mergeCell ref="AO40:AR40"/>
    <mergeCell ref="AO41:AR41"/>
    <mergeCell ref="AO42:AR42"/>
    <mergeCell ref="AD43:AD47"/>
    <mergeCell ref="AE43:AN43"/>
    <mergeCell ref="AO43:AR43"/>
    <mergeCell ref="AE44:AG47"/>
    <mergeCell ref="AI44:AN44"/>
    <mergeCell ref="AO44:AR44"/>
    <mergeCell ref="AI45:AN45"/>
    <mergeCell ref="AO45:AR45"/>
    <mergeCell ref="AI46:AN46"/>
    <mergeCell ref="AO46:AR46"/>
    <mergeCell ref="AI47:AN47"/>
    <mergeCell ref="AO47:AR47"/>
    <mergeCell ref="P51:X51"/>
    <mergeCell ref="AD48:AD54"/>
    <mergeCell ref="AE48:AN54"/>
    <mergeCell ref="AO48:AR48"/>
    <mergeCell ref="AO49:AR49"/>
    <mergeCell ref="AO50:AR50"/>
    <mergeCell ref="AO51:AR51"/>
    <mergeCell ref="AO52:AR52"/>
    <mergeCell ref="AO53:AR53"/>
    <mergeCell ref="AO54:AR54"/>
    <mergeCell ref="P53:R53"/>
    <mergeCell ref="S53:U53"/>
    <mergeCell ref="V53:X53"/>
    <mergeCell ref="G56:J56"/>
    <mergeCell ref="N56:P56"/>
    <mergeCell ref="K56:M56"/>
    <mergeCell ref="P52:X52"/>
    <mergeCell ref="P54:X54"/>
    <mergeCell ref="P38:X38"/>
    <mergeCell ref="P40:X40"/>
    <mergeCell ref="P39:X39"/>
    <mergeCell ref="P42:X42"/>
    <mergeCell ref="P43:X43"/>
    <mergeCell ref="P44:X44"/>
    <mergeCell ref="P45:X45"/>
    <mergeCell ref="P46:X46"/>
    <mergeCell ref="P47:X47"/>
    <mergeCell ref="P41:R41"/>
    <mergeCell ref="S41:U41"/>
    <mergeCell ref="V41:X41"/>
    <mergeCell ref="P48:R48"/>
    <mergeCell ref="S48:U48"/>
    <mergeCell ref="V48:X48"/>
    <mergeCell ref="P49:R49"/>
    <mergeCell ref="S49:U49"/>
    <mergeCell ref="V49:X49"/>
    <mergeCell ref="P50:X50"/>
  </mergeCells>
  <conditionalFormatting sqref="V48:X49 P5:X12 AS5:AX54">
    <cfRule type="cellIs" dxfId="118" priority="96" operator="equal">
      <formula>0</formula>
    </cfRule>
  </conditionalFormatting>
  <conditionalFormatting sqref="P47">
    <cfRule type="cellIs" dxfId="117" priority="90" operator="equal">
      <formula>0</formula>
    </cfRule>
  </conditionalFormatting>
  <conditionalFormatting sqref="P52">
    <cfRule type="cellIs" dxfId="116" priority="89" operator="equal">
      <formula>0</formula>
    </cfRule>
  </conditionalFormatting>
  <conditionalFormatting sqref="P54">
    <cfRule type="cellIs" dxfId="115" priority="88" operator="equal">
      <formula>0</formula>
    </cfRule>
  </conditionalFormatting>
  <conditionalFormatting sqref="P38 P40">
    <cfRule type="cellIs" dxfId="114" priority="86" operator="equal">
      <formula>0</formula>
    </cfRule>
  </conditionalFormatting>
  <conditionalFormatting sqref="P42">
    <cfRule type="cellIs" dxfId="113" priority="85" operator="equal">
      <formula>0</formula>
    </cfRule>
  </conditionalFormatting>
  <conditionalFormatting sqref="P45">
    <cfRule type="cellIs" dxfId="112" priority="84" operator="equal">
      <formula>0</formula>
    </cfRule>
  </conditionalFormatting>
  <conditionalFormatting sqref="E44:E47">
    <cfRule type="cellIs" dxfId="111" priority="83" operator="equal">
      <formula>0</formula>
    </cfRule>
  </conditionalFormatting>
  <conditionalFormatting sqref="P43">
    <cfRule type="cellIs" dxfId="110" priority="82" operator="equal">
      <formula>0</formula>
    </cfRule>
  </conditionalFormatting>
  <conditionalFormatting sqref="P50">
    <cfRule type="cellIs" dxfId="109" priority="81" operator="equal">
      <formula>0</formula>
    </cfRule>
  </conditionalFormatting>
  <conditionalFormatting sqref="P39">
    <cfRule type="cellIs" dxfId="108" priority="80" operator="equal">
      <formula>0</formula>
    </cfRule>
  </conditionalFormatting>
  <conditionalFormatting sqref="P44">
    <cfRule type="cellIs" dxfId="107" priority="79" operator="equal">
      <formula>0</formula>
    </cfRule>
  </conditionalFormatting>
  <conditionalFormatting sqref="P51">
    <cfRule type="cellIs" dxfId="106" priority="78" operator="equal">
      <formula>0</formula>
    </cfRule>
  </conditionalFormatting>
  <conditionalFormatting sqref="P41:U41">
    <cfRule type="cellIs" dxfId="105" priority="76" operator="equal">
      <formula>0</formula>
    </cfRule>
  </conditionalFormatting>
  <conditionalFormatting sqref="V41:X41">
    <cfRule type="cellIs" dxfId="104" priority="75" operator="equal">
      <formula>0</formula>
    </cfRule>
  </conditionalFormatting>
  <conditionalFormatting sqref="P53">
    <cfRule type="cellIs" dxfId="103" priority="73" operator="equal">
      <formula>0</formula>
    </cfRule>
  </conditionalFormatting>
  <conditionalFormatting sqref="P46">
    <cfRule type="cellIs" dxfId="102" priority="72" operator="equal">
      <formula>0</formula>
    </cfRule>
  </conditionalFormatting>
  <conditionalFormatting sqref="P13:U13 S13:U17">
    <cfRule type="cellIs" dxfId="101" priority="67" operator="equal">
      <formula>0</formula>
    </cfRule>
  </conditionalFormatting>
  <conditionalFormatting sqref="P23:X27 V13:X17 P33:X37 V28:X32">
    <cfRule type="cellIs" dxfId="100" priority="68" operator="equal">
      <formula>0</formula>
    </cfRule>
  </conditionalFormatting>
  <conditionalFormatting sqref="P14:U14">
    <cfRule type="cellIs" dxfId="99" priority="64" operator="equal">
      <formula>0</formula>
    </cfRule>
  </conditionalFormatting>
  <conditionalFormatting sqref="P15:U17">
    <cfRule type="cellIs" dxfId="98" priority="63" operator="equal">
      <formula>0</formula>
    </cfRule>
  </conditionalFormatting>
  <conditionalFormatting sqref="V18:X22">
    <cfRule type="cellIs" dxfId="97" priority="62" operator="equal">
      <formula>0</formula>
    </cfRule>
  </conditionalFormatting>
  <conditionalFormatting sqref="P18:U18 S18:U22">
    <cfRule type="cellIs" dxfId="96" priority="61" operator="equal">
      <formula>0</formula>
    </cfRule>
  </conditionalFormatting>
  <conditionalFormatting sqref="P19:U19">
    <cfRule type="cellIs" dxfId="95" priority="60" operator="equal">
      <formula>0</formula>
    </cfRule>
  </conditionalFormatting>
  <conditionalFormatting sqref="P20:U22">
    <cfRule type="cellIs" dxfId="94" priority="59" operator="equal">
      <formula>0</formula>
    </cfRule>
  </conditionalFormatting>
  <conditionalFormatting sqref="P28:U28 S28:U32">
    <cfRule type="cellIs" dxfId="93" priority="58" operator="equal">
      <formula>0</formula>
    </cfRule>
  </conditionalFormatting>
  <conditionalFormatting sqref="P29:U29">
    <cfRule type="cellIs" dxfId="92" priority="57" operator="equal">
      <formula>0</formula>
    </cfRule>
  </conditionalFormatting>
  <conditionalFormatting sqref="P30:U32">
    <cfRule type="cellIs" dxfId="91" priority="56" operator="equal">
      <formula>0</formula>
    </cfRule>
  </conditionalFormatting>
  <conditionalFormatting sqref="P48:U49">
    <cfRule type="cellIs" dxfId="90" priority="53" operator="equal">
      <formula>0</formula>
    </cfRule>
  </conditionalFormatting>
  <conditionalFormatting sqref="P5:X54">
    <cfRule type="containsErrors" dxfId="89" priority="52">
      <formula>ISERROR(P5)</formula>
    </cfRule>
  </conditionalFormatting>
  <conditionalFormatting sqref="P13:R13">
    <cfRule type="cellIs" dxfId="88" priority="51" operator="equal">
      <formula>0</formula>
    </cfRule>
  </conditionalFormatting>
  <conditionalFormatting sqref="P13:R13">
    <cfRule type="cellIs" dxfId="87" priority="50" operator="equal">
      <formula>0</formula>
    </cfRule>
  </conditionalFormatting>
  <conditionalFormatting sqref="P18:R18">
    <cfRule type="cellIs" dxfId="86" priority="49" operator="equal">
      <formula>0</formula>
    </cfRule>
  </conditionalFormatting>
  <conditionalFormatting sqref="P18:R18">
    <cfRule type="cellIs" dxfId="85" priority="48" operator="equal">
      <formula>0</formula>
    </cfRule>
  </conditionalFormatting>
  <conditionalFormatting sqref="P28:R28">
    <cfRule type="cellIs" dxfId="84" priority="47" operator="equal">
      <formula>0</formula>
    </cfRule>
  </conditionalFormatting>
  <conditionalFormatting sqref="P28:R28">
    <cfRule type="cellIs" dxfId="83" priority="46" operator="equal">
      <formula>0</formula>
    </cfRule>
  </conditionalFormatting>
  <conditionalFormatting sqref="P28:R28">
    <cfRule type="cellIs" dxfId="82" priority="45" operator="equal">
      <formula>0</formula>
    </cfRule>
  </conditionalFormatting>
  <conditionalFormatting sqref="P28:R28">
    <cfRule type="cellIs" dxfId="81" priority="44" operator="equal">
      <formula>0</formula>
    </cfRule>
  </conditionalFormatting>
  <conditionalFormatting sqref="S28:U32">
    <cfRule type="cellIs" dxfId="80" priority="43" operator="equal">
      <formula>0</formula>
    </cfRule>
  </conditionalFormatting>
  <conditionalFormatting sqref="S28:U32">
    <cfRule type="cellIs" dxfId="79" priority="42" operator="equal">
      <formula>0</formula>
    </cfRule>
  </conditionalFormatting>
  <conditionalFormatting sqref="S28:U32">
    <cfRule type="cellIs" dxfId="78" priority="41" operator="equal">
      <formula>0</formula>
    </cfRule>
  </conditionalFormatting>
  <conditionalFormatting sqref="S28:U32">
    <cfRule type="cellIs" dxfId="77" priority="40" operator="equal">
      <formula>0</formula>
    </cfRule>
  </conditionalFormatting>
  <conditionalFormatting sqref="P29:R32">
    <cfRule type="cellIs" dxfId="76" priority="39" operator="equal">
      <formula>0</formula>
    </cfRule>
  </conditionalFormatting>
  <conditionalFormatting sqref="P29:R32">
    <cfRule type="cellIs" dxfId="75" priority="38" operator="equal">
      <formula>0</formula>
    </cfRule>
  </conditionalFormatting>
  <conditionalFormatting sqref="P29:R32">
    <cfRule type="cellIs" dxfId="74" priority="37" operator="equal">
      <formula>0</formula>
    </cfRule>
  </conditionalFormatting>
  <conditionalFormatting sqref="P29:R32">
    <cfRule type="cellIs" dxfId="73" priority="36" operator="equal">
      <formula>0</formula>
    </cfRule>
  </conditionalFormatting>
  <conditionalFormatting sqref="P29:R32">
    <cfRule type="cellIs" dxfId="72" priority="35" operator="equal">
      <formula>0</formula>
    </cfRule>
  </conditionalFormatting>
  <conditionalFormatting sqref="S18:U22">
    <cfRule type="cellIs" dxfId="71" priority="34" operator="equal">
      <formula>0</formula>
    </cfRule>
  </conditionalFormatting>
  <conditionalFormatting sqref="S18:U22">
    <cfRule type="cellIs" dxfId="70" priority="33" operator="equal">
      <formula>0</formula>
    </cfRule>
  </conditionalFormatting>
  <conditionalFormatting sqref="P19:R22">
    <cfRule type="cellIs" dxfId="69" priority="32" operator="equal">
      <formula>0</formula>
    </cfRule>
  </conditionalFormatting>
  <conditionalFormatting sqref="P19:R22">
    <cfRule type="cellIs" dxfId="68" priority="31" operator="equal">
      <formula>0</formula>
    </cfRule>
  </conditionalFormatting>
  <conditionalFormatting sqref="P19:R22">
    <cfRule type="cellIs" dxfId="67" priority="30" operator="equal">
      <formula>0</formula>
    </cfRule>
  </conditionalFormatting>
  <conditionalFormatting sqref="S13:U17">
    <cfRule type="cellIs" dxfId="66" priority="29" operator="equal">
      <formula>0</formula>
    </cfRule>
  </conditionalFormatting>
  <conditionalFormatting sqref="S13:U17">
    <cfRule type="cellIs" dxfId="65" priority="28" operator="equal">
      <formula>0</formula>
    </cfRule>
  </conditionalFormatting>
  <conditionalFormatting sqref="P14:R17">
    <cfRule type="cellIs" dxfId="64" priority="27" operator="equal">
      <formula>0</formula>
    </cfRule>
  </conditionalFormatting>
  <conditionalFormatting sqref="P14:R17">
    <cfRule type="cellIs" dxfId="63" priority="26" operator="equal">
      <formula>0</formula>
    </cfRule>
  </conditionalFormatting>
  <conditionalFormatting sqref="P14:R17">
    <cfRule type="cellIs" dxfId="62" priority="25" operator="equal">
      <formula>0</formula>
    </cfRule>
  </conditionalFormatting>
  <conditionalFormatting sqref="P39">
    <cfRule type="cellIs" dxfId="61" priority="24" operator="equal">
      <formula>0</formula>
    </cfRule>
  </conditionalFormatting>
  <conditionalFormatting sqref="P43">
    <cfRule type="cellIs" dxfId="60" priority="23" operator="equal">
      <formula>0</formula>
    </cfRule>
  </conditionalFormatting>
  <conditionalFormatting sqref="P43">
    <cfRule type="cellIs" dxfId="59" priority="22" operator="equal">
      <formula>0</formula>
    </cfRule>
  </conditionalFormatting>
  <conditionalFormatting sqref="P44">
    <cfRule type="cellIs" dxfId="58" priority="21" operator="equal">
      <formula>0</formula>
    </cfRule>
  </conditionalFormatting>
  <conditionalFormatting sqref="P44">
    <cfRule type="cellIs" dxfId="57" priority="20" operator="equal">
      <formula>0</formula>
    </cfRule>
  </conditionalFormatting>
  <conditionalFormatting sqref="P44">
    <cfRule type="cellIs" dxfId="56" priority="19" operator="equal">
      <formula>0</formula>
    </cfRule>
  </conditionalFormatting>
  <conditionalFormatting sqref="P50">
    <cfRule type="cellIs" dxfId="55" priority="18" operator="equal">
      <formula>0</formula>
    </cfRule>
  </conditionalFormatting>
  <conditionalFormatting sqref="P50">
    <cfRule type="cellIs" dxfId="54" priority="17" operator="equal">
      <formula>0</formula>
    </cfRule>
  </conditionalFormatting>
  <conditionalFormatting sqref="P50">
    <cfRule type="cellIs" dxfId="53" priority="16" operator="equal">
      <formula>0</formula>
    </cfRule>
  </conditionalFormatting>
  <conditionalFormatting sqref="P50">
    <cfRule type="cellIs" dxfId="52" priority="15" operator="equal">
      <formula>0</formula>
    </cfRule>
  </conditionalFormatting>
  <conditionalFormatting sqref="P51">
    <cfRule type="cellIs" dxfId="51" priority="14" operator="equal">
      <formula>0</formula>
    </cfRule>
  </conditionalFormatting>
  <conditionalFormatting sqref="P51">
    <cfRule type="cellIs" dxfId="50" priority="13" operator="equal">
      <formula>0</formula>
    </cfRule>
  </conditionalFormatting>
  <conditionalFormatting sqref="P51">
    <cfRule type="cellIs" dxfId="49" priority="12" operator="equal">
      <formula>0</formula>
    </cfRule>
  </conditionalFormatting>
  <conditionalFormatting sqref="P51">
    <cfRule type="cellIs" dxfId="48" priority="11" operator="equal">
      <formula>0</formula>
    </cfRule>
  </conditionalFormatting>
  <conditionalFormatting sqref="P51">
    <cfRule type="cellIs" dxfId="47" priority="10" operator="equal">
      <formula>0</formula>
    </cfRule>
  </conditionalFormatting>
  <conditionalFormatting sqref="V53:X53">
    <cfRule type="cellIs" dxfId="46" priority="9" operator="equal">
      <formula>0</formula>
    </cfRule>
  </conditionalFormatting>
  <conditionalFormatting sqref="P53:U53">
    <cfRule type="cellIs" dxfId="45" priority="8" operator="equal">
      <formula>0</formula>
    </cfRule>
  </conditionalFormatting>
  <conditionalFormatting sqref="S53">
    <cfRule type="cellIs" dxfId="44" priority="7" operator="equal">
      <formula>0</formula>
    </cfRule>
  </conditionalFormatting>
  <conditionalFormatting sqref="P46">
    <cfRule type="cellIs" dxfId="43" priority="6" operator="equal">
      <formula>0</formula>
    </cfRule>
  </conditionalFormatting>
  <conditionalFormatting sqref="P46">
    <cfRule type="cellIs" dxfId="42" priority="5" operator="equal">
      <formula>0</formula>
    </cfRule>
  </conditionalFormatting>
  <conditionalFormatting sqref="P46">
    <cfRule type="cellIs" dxfId="41" priority="4" operator="equal">
      <formula>0</formula>
    </cfRule>
  </conditionalFormatting>
  <conditionalFormatting sqref="L10:X12 L15:X17 L20:X22 L25:X27 L30:X32 L35:X37">
    <cfRule type="expression" dxfId="40" priority="3">
      <formula>$Y$1=1</formula>
    </cfRule>
  </conditionalFormatting>
  <conditionalFormatting sqref="G56:J56 N56:P56">
    <cfRule type="cellIs" dxfId="39" priority="2" operator="equal">
      <formula>0</formula>
    </cfRule>
  </conditionalFormatting>
  <conditionalFormatting sqref="E2:Q2">
    <cfRule type="cellIs" dxfId="38" priority="1" operator="equal">
      <formula>0</formula>
    </cfRule>
  </conditionalFormatting>
  <dataValidations count="1">
    <dataValidation type="list" allowBlank="1" showInputMessage="1" showErrorMessage="1" sqref="U3:X3" xr:uid="{00000000-0002-0000-0A00-000000000000}">
      <formula1>MONTH</formula1>
    </dataValidation>
  </dataValidations>
  <pageMargins left="0" right="0" top="0" bottom="0" header="0" footer="0"/>
  <pageSetup scale="7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FF0000"/>
  </sheetPr>
  <dimension ref="A1:HM88"/>
  <sheetViews>
    <sheetView view="pageBreakPreview" topLeftCell="J3" zoomScaleNormal="100" zoomScaleSheetLayoutView="100" workbookViewId="0">
      <pane ySplit="4" topLeftCell="A7" activePane="bottomLeft" state="frozen"/>
      <selection activeCell="J3" sqref="J3"/>
      <selection pane="bottomLeft" activeCell="F11" sqref="F11:BY11"/>
    </sheetView>
  </sheetViews>
  <sheetFormatPr defaultRowHeight="15" x14ac:dyDescent="0.25"/>
  <cols>
    <col min="1" max="5" width="9.140625" style="3" hidden="1" customWidth="1"/>
    <col min="6" max="6" width="3.7109375" style="3" hidden="1" customWidth="1"/>
    <col min="7" max="9" width="4.7109375" style="3" hidden="1" customWidth="1"/>
    <col min="10" max="11" width="4.7109375" style="3" customWidth="1"/>
    <col min="12" max="75" width="2.28515625" style="3" customWidth="1"/>
    <col min="76" max="77" width="3.7109375" style="3" customWidth="1"/>
    <col min="78" max="78" width="3.7109375" style="3" hidden="1" customWidth="1"/>
    <col min="79" max="81" width="4.7109375" style="3" hidden="1" customWidth="1"/>
    <col min="82" max="83" width="4.7109375" style="3" customWidth="1"/>
    <col min="84" max="147" width="2.28515625" style="3" customWidth="1"/>
    <col min="148" max="149" width="3.7109375" style="3" customWidth="1"/>
    <col min="150" max="150" width="3.7109375" style="3" hidden="1" customWidth="1"/>
    <col min="151" max="155" width="4.7109375" style="3" hidden="1" customWidth="1"/>
    <col min="156" max="219" width="2.28515625" style="3" hidden="1" customWidth="1"/>
    <col min="220" max="221" width="3.7109375" style="3" hidden="1" customWidth="1"/>
    <col min="222" max="16384" width="9.140625" style="3"/>
  </cols>
  <sheetData>
    <row r="1" spans="6:80" hidden="1" x14ac:dyDescent="0.25">
      <c r="F1" s="3" t="e">
        <f>LARGE(#REF!,1)</f>
        <v>#REF!</v>
      </c>
      <c r="G1" s="3">
        <f>IF(LEN(BR5)&gt;=5,VLOOKUP(BR5,MONTHLY!Y2:Z13,2,0)*100,0)</f>
        <v>0</v>
      </c>
      <c r="L1" s="957">
        <v>4</v>
      </c>
      <c r="M1" s="957"/>
      <c r="N1" s="957">
        <v>5</v>
      </c>
      <c r="O1" s="957"/>
      <c r="P1" s="957">
        <v>10</v>
      </c>
      <c r="Q1" s="957"/>
      <c r="R1" s="957">
        <v>11</v>
      </c>
      <c r="S1" s="957"/>
      <c r="T1" s="957">
        <v>2</v>
      </c>
      <c r="U1" s="957"/>
      <c r="V1" s="957">
        <v>3</v>
      </c>
      <c r="W1" s="957"/>
      <c r="X1" s="957">
        <v>4</v>
      </c>
      <c r="Y1" s="957"/>
      <c r="Z1" s="957">
        <v>5</v>
      </c>
      <c r="AA1" s="957"/>
      <c r="AB1" s="957">
        <v>6</v>
      </c>
      <c r="AC1" s="957"/>
      <c r="AD1" s="957">
        <v>7</v>
      </c>
      <c r="AE1" s="957"/>
      <c r="AF1" s="957">
        <v>8</v>
      </c>
      <c r="AG1" s="957"/>
      <c r="AH1" s="957">
        <v>9</v>
      </c>
      <c r="AI1" s="957"/>
      <c r="AJ1" s="957">
        <v>10</v>
      </c>
      <c r="AK1" s="957"/>
      <c r="AL1" s="957">
        <v>11</v>
      </c>
      <c r="AM1" s="957"/>
      <c r="AN1" s="957">
        <v>12</v>
      </c>
      <c r="AO1" s="957"/>
      <c r="AP1" s="957">
        <v>13</v>
      </c>
      <c r="AQ1" s="957"/>
      <c r="AR1" s="957"/>
      <c r="AS1" s="957"/>
      <c r="AT1" s="957"/>
      <c r="AU1" s="957"/>
      <c r="AV1" s="957"/>
      <c r="AW1" s="957"/>
      <c r="AX1" s="957"/>
      <c r="AY1" s="957"/>
      <c r="AZ1" s="957">
        <v>14</v>
      </c>
      <c r="BA1" s="957"/>
      <c r="BB1" s="957">
        <v>15</v>
      </c>
      <c r="BC1" s="957"/>
      <c r="BD1" s="957">
        <v>16</v>
      </c>
      <c r="BE1" s="957"/>
      <c r="BF1" s="957">
        <v>17</v>
      </c>
      <c r="BG1" s="957"/>
      <c r="BH1" s="957">
        <v>10</v>
      </c>
      <c r="BI1" s="957"/>
      <c r="BJ1" s="957">
        <v>11</v>
      </c>
      <c r="BK1" s="957"/>
      <c r="BL1" s="957">
        <v>12</v>
      </c>
      <c r="BM1" s="957"/>
      <c r="BN1" s="957">
        <v>13</v>
      </c>
      <c r="BO1" s="957"/>
      <c r="BP1" s="957"/>
      <c r="BQ1" s="957"/>
      <c r="BR1" s="957"/>
      <c r="BS1" s="957"/>
      <c r="BT1" s="957"/>
      <c r="BU1" s="957"/>
      <c r="BV1" s="957"/>
      <c r="BW1" s="957"/>
      <c r="BX1" s="3">
        <v>27</v>
      </c>
      <c r="BY1" s="3">
        <v>18</v>
      </c>
    </row>
    <row r="2" spans="6:80" hidden="1" x14ac:dyDescent="0.25"/>
    <row r="3" spans="6:80" ht="15.75" x14ac:dyDescent="0.25">
      <c r="F3" s="1160" t="s">
        <v>97</v>
      </c>
      <c r="G3" s="1160"/>
      <c r="H3" s="1160"/>
      <c r="I3" s="1160"/>
      <c r="J3" s="1160"/>
      <c r="K3" s="1160"/>
      <c r="L3" s="1160"/>
      <c r="M3" s="1160"/>
      <c r="N3" s="1160"/>
      <c r="O3" s="1160"/>
      <c r="P3" s="1160"/>
      <c r="Q3" s="1160"/>
      <c r="R3" s="1160"/>
      <c r="S3" s="1160"/>
      <c r="T3" s="1160"/>
      <c r="U3" s="1160"/>
      <c r="V3" s="1160"/>
      <c r="W3" s="1160"/>
      <c r="X3" s="1160"/>
      <c r="Y3" s="1160"/>
      <c r="Z3" s="1160"/>
      <c r="AA3" s="1160"/>
      <c r="AB3" s="1160"/>
      <c r="AC3" s="1160"/>
      <c r="AD3" s="1160"/>
      <c r="AE3" s="1160"/>
      <c r="AF3" s="1160"/>
      <c r="AG3" s="1160"/>
      <c r="AH3" s="1160"/>
      <c r="AI3" s="1160"/>
      <c r="AJ3" s="1160"/>
      <c r="AK3" s="1160"/>
      <c r="AL3" s="1160"/>
      <c r="AM3" s="1160"/>
      <c r="AN3" s="1160"/>
      <c r="AO3" s="1160"/>
      <c r="AP3" s="1160"/>
      <c r="AQ3" s="1160"/>
      <c r="AR3" s="1160"/>
      <c r="AS3" s="1160"/>
      <c r="AT3" s="1160"/>
      <c r="AU3" s="1160"/>
      <c r="AV3" s="1160"/>
      <c r="AW3" s="1160"/>
      <c r="AX3" s="1160"/>
      <c r="AY3" s="1160"/>
      <c r="AZ3" s="1160"/>
      <c r="BA3" s="1160"/>
      <c r="BB3" s="1160"/>
      <c r="BC3" s="1160"/>
      <c r="BD3" s="1160"/>
      <c r="BE3" s="1160"/>
      <c r="BF3" s="1160"/>
      <c r="BG3" s="1160"/>
      <c r="BH3" s="1160"/>
      <c r="BI3" s="1160"/>
      <c r="BJ3" s="1160"/>
      <c r="BK3" s="1160"/>
      <c r="BL3" s="1160"/>
      <c r="BM3" s="1160"/>
      <c r="BN3" s="1160"/>
      <c r="BO3" s="1160"/>
      <c r="BP3" s="1160"/>
      <c r="BQ3" s="1160"/>
      <c r="BR3" s="1160"/>
      <c r="BS3" s="1160"/>
      <c r="BT3" s="1160"/>
      <c r="BU3" s="1160"/>
      <c r="BV3" s="1160"/>
      <c r="BW3" s="1160"/>
      <c r="BX3" s="1160"/>
      <c r="BY3" s="1160"/>
      <c r="CA3" s="3">
        <f>MONTHLY!AC6</f>
        <v>0</v>
      </c>
    </row>
    <row r="4" spans="6:80" ht="26.25" x14ac:dyDescent="0.25">
      <c r="F4" s="1161">
        <f>MONTHLY!E2</f>
        <v>0</v>
      </c>
      <c r="G4" s="1161"/>
      <c r="H4" s="1161"/>
      <c r="I4" s="1161"/>
      <c r="J4" s="1161"/>
      <c r="K4" s="1161"/>
      <c r="L4" s="1161"/>
      <c r="M4" s="1161"/>
      <c r="N4" s="1161"/>
      <c r="O4" s="1161"/>
      <c r="P4" s="1161"/>
      <c r="Q4" s="1161"/>
      <c r="R4" s="1161"/>
      <c r="S4" s="1161"/>
      <c r="T4" s="1161"/>
      <c r="U4" s="1161"/>
      <c r="V4" s="1161"/>
      <c r="W4" s="1161"/>
      <c r="X4" s="1161"/>
      <c r="Y4" s="1161"/>
      <c r="Z4" s="1161"/>
      <c r="AA4" s="1161"/>
      <c r="AB4" s="1161"/>
      <c r="AC4" s="1161"/>
      <c r="AD4" s="1161"/>
      <c r="AE4" s="1161"/>
      <c r="AF4" s="1161"/>
      <c r="AG4" s="1161"/>
      <c r="AH4" s="1161"/>
      <c r="AI4" s="1161"/>
      <c r="AJ4" s="1161"/>
      <c r="AK4" s="1161"/>
      <c r="AL4" s="1161"/>
      <c r="AM4" s="1161"/>
      <c r="AN4" s="1161"/>
      <c r="AO4" s="1161"/>
      <c r="AP4" s="1161"/>
      <c r="AQ4" s="1161"/>
      <c r="AR4" s="1161"/>
      <c r="AS4" s="1161"/>
      <c r="AT4" s="1161"/>
      <c r="AU4" s="1161"/>
      <c r="AV4" s="1161"/>
      <c r="AW4" s="1161"/>
      <c r="AX4" s="1161"/>
      <c r="AY4" s="1161"/>
      <c r="AZ4" s="1161"/>
      <c r="BA4" s="1161"/>
      <c r="BB4" s="1161"/>
      <c r="BC4" s="1161"/>
      <c r="BD4" s="1161"/>
      <c r="BE4" s="1161"/>
      <c r="BF4" s="1161"/>
      <c r="BG4" s="1161"/>
      <c r="BH4" s="1161"/>
      <c r="BI4" s="1161"/>
      <c r="BJ4" s="1161"/>
      <c r="BK4" s="1161"/>
      <c r="BL4" s="1161"/>
      <c r="BM4" s="1161"/>
      <c r="BN4" s="1161"/>
      <c r="BO4" s="1161"/>
      <c r="BP4" s="1161"/>
      <c r="BQ4" s="1161"/>
      <c r="BR4" s="1161"/>
      <c r="BS4" s="1161"/>
      <c r="BT4" s="1161"/>
      <c r="BU4" s="1161"/>
      <c r="BV4" s="1161"/>
      <c r="BW4" s="1161"/>
      <c r="BX4" s="1161"/>
      <c r="BY4" s="1161"/>
    </row>
    <row r="5" spans="6:80" ht="18.75" x14ac:dyDescent="0.25">
      <c r="F5" s="1162"/>
      <c r="G5" s="1162"/>
      <c r="H5" s="1162"/>
      <c r="I5" s="1162"/>
      <c r="J5" s="1162"/>
      <c r="K5" s="1162"/>
      <c r="L5" s="279"/>
      <c r="M5" s="279"/>
      <c r="N5" s="279"/>
      <c r="O5" s="279"/>
      <c r="P5" s="279"/>
      <c r="Q5" s="279"/>
      <c r="R5" s="279"/>
      <c r="S5" s="279"/>
      <c r="T5" s="279"/>
      <c r="U5" s="279"/>
      <c r="V5" s="279"/>
      <c r="W5" s="279"/>
      <c r="X5" s="279"/>
      <c r="Y5" s="279"/>
      <c r="Z5" s="279"/>
      <c r="AA5" s="279"/>
      <c r="AB5" s="279"/>
      <c r="AC5" s="279"/>
      <c r="AD5" s="279"/>
      <c r="AE5" s="279"/>
      <c r="AF5" s="279"/>
      <c r="AG5" s="279"/>
      <c r="AH5" s="279"/>
      <c r="AI5" s="279"/>
      <c r="AJ5" s="279"/>
      <c r="AK5" s="279"/>
      <c r="AL5" s="1196" t="s">
        <v>96</v>
      </c>
      <c r="AM5" s="1196"/>
      <c r="AN5" s="1196"/>
      <c r="AO5" s="1196"/>
      <c r="AP5" s="1197">
        <f>MONTHLY!U3</f>
        <v>0</v>
      </c>
      <c r="AQ5" s="1197"/>
      <c r="AR5" s="1197"/>
      <c r="AS5" s="1197"/>
      <c r="AT5" s="1197"/>
      <c r="AU5" s="1197"/>
      <c r="AV5" s="1197"/>
      <c r="AW5" s="1197"/>
      <c r="AX5" s="279"/>
      <c r="AY5" s="279"/>
      <c r="AZ5" s="279"/>
      <c r="BA5" s="279"/>
      <c r="BB5" s="279"/>
      <c r="BC5" s="279"/>
      <c r="BD5" s="279"/>
      <c r="BE5" s="279"/>
      <c r="BF5" s="279"/>
      <c r="BG5" s="279"/>
      <c r="BH5" s="279"/>
      <c r="BI5" s="279"/>
      <c r="BJ5" s="279"/>
      <c r="BK5" s="279"/>
      <c r="BL5" s="279"/>
      <c r="BM5" s="279"/>
      <c r="BN5" s="1162"/>
      <c r="BO5" s="1162"/>
      <c r="BP5" s="1162"/>
      <c r="BQ5" s="1162"/>
      <c r="BR5" s="1163"/>
      <c r="BS5" s="1162"/>
      <c r="BT5" s="1162"/>
      <c r="BU5" s="1162"/>
      <c r="BV5" s="1162"/>
      <c r="BW5" s="1162"/>
      <c r="BX5" s="1162"/>
      <c r="BY5" s="1162"/>
      <c r="CA5" s="3">
        <f>MONTHLY!Y1</f>
        <v>0</v>
      </c>
    </row>
    <row r="6" spans="6:80" ht="21.95" customHeight="1" thickBot="1" x14ac:dyDescent="0.4">
      <c r="F6" s="1137" t="s">
        <v>98</v>
      </c>
      <c r="G6" s="1137"/>
      <c r="H6" s="1137"/>
      <c r="I6" s="1137"/>
      <c r="J6" s="1137"/>
      <c r="K6" s="1137"/>
      <c r="L6" s="1137"/>
      <c r="M6" s="1137"/>
      <c r="N6" s="1137"/>
      <c r="O6" s="1137"/>
      <c r="P6" s="1137"/>
      <c r="Q6" s="1137"/>
      <c r="R6" s="1137"/>
      <c r="S6" s="1137"/>
      <c r="T6" s="1137"/>
      <c r="U6" s="1137"/>
      <c r="V6" s="1137"/>
      <c r="W6" s="1137"/>
      <c r="X6" s="1137"/>
      <c r="Y6" s="1137"/>
      <c r="Z6" s="1137"/>
      <c r="AA6" s="1137"/>
      <c r="AB6" s="1137"/>
      <c r="AC6" s="1137"/>
      <c r="AD6" s="1137"/>
      <c r="AE6" s="1137"/>
      <c r="AF6" s="1137"/>
      <c r="AG6" s="1137"/>
      <c r="AH6" s="1137"/>
      <c r="AI6" s="1137"/>
      <c r="AJ6" s="1137"/>
      <c r="AK6" s="1137"/>
      <c r="AL6" s="1137"/>
      <c r="AM6" s="1137"/>
      <c r="AN6" s="1137"/>
      <c r="AO6" s="1137"/>
      <c r="AP6" s="1137"/>
      <c r="AQ6" s="1137"/>
      <c r="AR6" s="1137"/>
      <c r="AS6" s="1137"/>
      <c r="AT6" s="1137"/>
      <c r="AU6" s="1137"/>
      <c r="AV6" s="1137"/>
      <c r="AW6" s="1137"/>
      <c r="AX6" s="1137"/>
      <c r="AY6" s="1137"/>
      <c r="AZ6" s="1137"/>
      <c r="BA6" s="1137"/>
      <c r="BB6" s="1137"/>
      <c r="BC6" s="1137"/>
      <c r="BD6" s="1137"/>
      <c r="BE6" s="1137"/>
      <c r="BF6" s="1137"/>
      <c r="BG6" s="1137"/>
      <c r="BH6" s="1137"/>
      <c r="BI6" s="1137"/>
      <c r="BJ6" s="1137"/>
      <c r="BK6" s="1137"/>
      <c r="BL6" s="1137"/>
      <c r="BM6" s="1137"/>
      <c r="BN6" s="1137"/>
      <c r="BO6" s="1137"/>
      <c r="BP6" s="1137"/>
      <c r="BQ6" s="1137"/>
      <c r="BR6" s="1137"/>
      <c r="BS6" s="1137"/>
      <c r="BT6" s="1137"/>
      <c r="BU6" s="1137"/>
      <c r="BV6" s="1137"/>
      <c r="BW6" s="1137"/>
      <c r="BX6" s="1137"/>
      <c r="BY6" s="1137"/>
    </row>
    <row r="7" spans="6:80" ht="30" customHeight="1" x14ac:dyDescent="0.25">
      <c r="F7" s="1149"/>
      <c r="G7" s="273"/>
      <c r="H7" s="274"/>
      <c r="I7" s="274"/>
      <c r="J7" s="1200" t="s">
        <v>70</v>
      </c>
      <c r="K7" s="1201"/>
      <c r="L7" s="1201"/>
      <c r="M7" s="1201"/>
      <c r="N7" s="1201"/>
      <c r="O7" s="1202"/>
      <c r="P7" s="270" t="s">
        <v>74</v>
      </c>
      <c r="Q7" s="271"/>
      <c r="R7" s="271"/>
      <c r="S7" s="272"/>
      <c r="T7" s="1131" t="s">
        <v>87</v>
      </c>
      <c r="U7" s="1131"/>
      <c r="V7" s="1131"/>
      <c r="W7" s="1131"/>
      <c r="X7" s="1131"/>
      <c r="Y7" s="1131"/>
      <c r="Z7" s="1131"/>
      <c r="AA7" s="1131"/>
      <c r="AB7" s="1131" t="s">
        <v>90</v>
      </c>
      <c r="AC7" s="1131"/>
      <c r="AD7" s="1131"/>
      <c r="AE7" s="1131"/>
      <c r="AF7" s="1131"/>
      <c r="AG7" s="1131"/>
      <c r="AH7" s="1131"/>
      <c r="AI7" s="1131"/>
      <c r="AJ7" s="1131" t="s">
        <v>91</v>
      </c>
      <c r="AK7" s="1131"/>
      <c r="AL7" s="1131"/>
      <c r="AM7" s="1131"/>
      <c r="AN7" s="1131"/>
      <c r="AO7" s="1131"/>
      <c r="AP7" s="1131"/>
      <c r="AQ7" s="1131"/>
      <c r="AR7" s="1131" t="s">
        <v>92</v>
      </c>
      <c r="AS7" s="1131"/>
      <c r="AT7" s="1131"/>
      <c r="AU7" s="1131"/>
      <c r="AV7" s="1131"/>
      <c r="AW7" s="1131"/>
      <c r="AX7" s="1131"/>
      <c r="AY7" s="1131"/>
      <c r="AZ7" s="1131" t="s">
        <v>93</v>
      </c>
      <c r="BA7" s="1131"/>
      <c r="BB7" s="1131"/>
      <c r="BC7" s="1131"/>
      <c r="BD7" s="1131"/>
      <c r="BE7" s="1131"/>
      <c r="BF7" s="1131"/>
      <c r="BG7" s="1131"/>
      <c r="BH7" s="1131" t="s">
        <v>94</v>
      </c>
      <c r="BI7" s="1131"/>
      <c r="BJ7" s="1131"/>
      <c r="BK7" s="1131"/>
      <c r="BL7" s="1131"/>
      <c r="BM7" s="1131"/>
      <c r="BN7" s="1131"/>
      <c r="BO7" s="1131"/>
      <c r="BP7" s="1131" t="s">
        <v>95</v>
      </c>
      <c r="BQ7" s="1131"/>
      <c r="BR7" s="1131"/>
      <c r="BS7" s="1131"/>
      <c r="BT7" s="1131"/>
      <c r="BU7" s="1131"/>
      <c r="BV7" s="1131"/>
      <c r="BW7" s="1131"/>
      <c r="BX7" s="1145" t="s">
        <v>75</v>
      </c>
      <c r="BY7" s="1147" t="s">
        <v>79</v>
      </c>
    </row>
    <row r="8" spans="6:80" ht="15" customHeight="1" x14ac:dyDescent="0.25">
      <c r="F8" s="1150"/>
      <c r="G8" s="275"/>
      <c r="H8" s="276"/>
      <c r="I8" s="276"/>
      <c r="J8" s="1199" t="s">
        <v>71</v>
      </c>
      <c r="K8" s="1198"/>
      <c r="L8" s="1198" t="s">
        <v>72</v>
      </c>
      <c r="M8" s="1198"/>
      <c r="N8" s="1198"/>
      <c r="O8" s="1198"/>
      <c r="P8" s="1130" t="s">
        <v>71</v>
      </c>
      <c r="Q8" s="1130"/>
      <c r="R8" s="1130" t="s">
        <v>72</v>
      </c>
      <c r="S8" s="1130"/>
      <c r="T8" s="1130" t="s">
        <v>71</v>
      </c>
      <c r="U8" s="1130"/>
      <c r="V8" s="1130"/>
      <c r="W8" s="1130"/>
      <c r="X8" s="1130" t="s">
        <v>72</v>
      </c>
      <c r="Y8" s="1130"/>
      <c r="Z8" s="1130"/>
      <c r="AA8" s="1130"/>
      <c r="AB8" s="1130" t="s">
        <v>71</v>
      </c>
      <c r="AC8" s="1130"/>
      <c r="AD8" s="1130"/>
      <c r="AE8" s="1130"/>
      <c r="AF8" s="1130" t="s">
        <v>72</v>
      </c>
      <c r="AG8" s="1130"/>
      <c r="AH8" s="1130"/>
      <c r="AI8" s="1130"/>
      <c r="AJ8" s="1130" t="s">
        <v>71</v>
      </c>
      <c r="AK8" s="1130"/>
      <c r="AL8" s="1130"/>
      <c r="AM8" s="1130"/>
      <c r="AN8" s="1130" t="s">
        <v>72</v>
      </c>
      <c r="AO8" s="1130"/>
      <c r="AP8" s="1130"/>
      <c r="AQ8" s="1130"/>
      <c r="AR8" s="1130" t="s">
        <v>71</v>
      </c>
      <c r="AS8" s="1130"/>
      <c r="AT8" s="1130"/>
      <c r="AU8" s="1130"/>
      <c r="AV8" s="1130" t="s">
        <v>72</v>
      </c>
      <c r="AW8" s="1130"/>
      <c r="AX8" s="1130"/>
      <c r="AY8" s="1130"/>
      <c r="AZ8" s="1130" t="s">
        <v>71</v>
      </c>
      <c r="BA8" s="1130"/>
      <c r="BB8" s="1130"/>
      <c r="BC8" s="1130"/>
      <c r="BD8" s="1130" t="s">
        <v>72</v>
      </c>
      <c r="BE8" s="1130"/>
      <c r="BF8" s="1130"/>
      <c r="BG8" s="1130"/>
      <c r="BH8" s="1130" t="s">
        <v>71</v>
      </c>
      <c r="BI8" s="1130"/>
      <c r="BJ8" s="1130"/>
      <c r="BK8" s="1130"/>
      <c r="BL8" s="1130" t="s">
        <v>72</v>
      </c>
      <c r="BM8" s="1130"/>
      <c r="BN8" s="1130"/>
      <c r="BO8" s="1130"/>
      <c r="BP8" s="1130" t="s">
        <v>71</v>
      </c>
      <c r="BQ8" s="1130"/>
      <c r="BR8" s="1130"/>
      <c r="BS8" s="1130"/>
      <c r="BT8" s="1130" t="s">
        <v>72</v>
      </c>
      <c r="BU8" s="1130"/>
      <c r="BV8" s="1130"/>
      <c r="BW8" s="1130"/>
      <c r="BX8" s="1146"/>
      <c r="BY8" s="1148"/>
    </row>
    <row r="9" spans="6:80" ht="15" customHeight="1" x14ac:dyDescent="0.25">
      <c r="F9" s="1150"/>
      <c r="G9" s="275"/>
      <c r="H9" s="276"/>
      <c r="I9" s="276"/>
      <c r="J9" s="1199"/>
      <c r="K9" s="1198"/>
      <c r="L9" s="1198"/>
      <c r="M9" s="1198"/>
      <c r="N9" s="1198"/>
      <c r="O9" s="1198"/>
      <c r="P9" s="1130"/>
      <c r="Q9" s="1130"/>
      <c r="R9" s="1130"/>
      <c r="S9" s="1130"/>
      <c r="T9" s="1133" t="s">
        <v>88</v>
      </c>
      <c r="U9" s="1133"/>
      <c r="V9" s="1133" t="s">
        <v>89</v>
      </c>
      <c r="W9" s="1133"/>
      <c r="X9" s="1133" t="s">
        <v>88</v>
      </c>
      <c r="Y9" s="1133"/>
      <c r="Z9" s="1133" t="s">
        <v>89</v>
      </c>
      <c r="AA9" s="1133"/>
      <c r="AB9" s="1133" t="s">
        <v>88</v>
      </c>
      <c r="AC9" s="1133"/>
      <c r="AD9" s="1133" t="s">
        <v>89</v>
      </c>
      <c r="AE9" s="1133"/>
      <c r="AF9" s="1133" t="s">
        <v>88</v>
      </c>
      <c r="AG9" s="1133"/>
      <c r="AH9" s="1133" t="s">
        <v>89</v>
      </c>
      <c r="AI9" s="1133"/>
      <c r="AJ9" s="1133" t="s">
        <v>88</v>
      </c>
      <c r="AK9" s="1133"/>
      <c r="AL9" s="1133" t="s">
        <v>89</v>
      </c>
      <c r="AM9" s="1133"/>
      <c r="AN9" s="1133" t="s">
        <v>88</v>
      </c>
      <c r="AO9" s="1133"/>
      <c r="AP9" s="1133" t="s">
        <v>89</v>
      </c>
      <c r="AQ9" s="1133"/>
      <c r="AR9" s="1133" t="s">
        <v>88</v>
      </c>
      <c r="AS9" s="1133"/>
      <c r="AT9" s="1133" t="s">
        <v>89</v>
      </c>
      <c r="AU9" s="1133"/>
      <c r="AV9" s="1133" t="s">
        <v>88</v>
      </c>
      <c r="AW9" s="1133"/>
      <c r="AX9" s="1133" t="s">
        <v>89</v>
      </c>
      <c r="AY9" s="1133"/>
      <c r="AZ9" s="1133" t="s">
        <v>88</v>
      </c>
      <c r="BA9" s="1133"/>
      <c r="BB9" s="1133" t="s">
        <v>89</v>
      </c>
      <c r="BC9" s="1133"/>
      <c r="BD9" s="1133" t="s">
        <v>88</v>
      </c>
      <c r="BE9" s="1133"/>
      <c r="BF9" s="1133" t="s">
        <v>89</v>
      </c>
      <c r="BG9" s="1133"/>
      <c r="BH9" s="1133" t="s">
        <v>88</v>
      </c>
      <c r="BI9" s="1133"/>
      <c r="BJ9" s="1133" t="s">
        <v>89</v>
      </c>
      <c r="BK9" s="1133"/>
      <c r="BL9" s="1133" t="s">
        <v>88</v>
      </c>
      <c r="BM9" s="1133"/>
      <c r="BN9" s="1133" t="s">
        <v>89</v>
      </c>
      <c r="BO9" s="1133"/>
      <c r="BP9" s="1133" t="s">
        <v>88</v>
      </c>
      <c r="BQ9" s="1133"/>
      <c r="BR9" s="1133" t="s">
        <v>89</v>
      </c>
      <c r="BS9" s="1133"/>
      <c r="BT9" s="1133" t="s">
        <v>88</v>
      </c>
      <c r="BU9" s="1133"/>
      <c r="BV9" s="1133" t="s">
        <v>89</v>
      </c>
      <c r="BW9" s="1133"/>
      <c r="BX9" s="1146"/>
      <c r="BY9" s="1148"/>
    </row>
    <row r="10" spans="6:80" ht="60" customHeight="1" thickBot="1" x14ac:dyDescent="0.3">
      <c r="F10" s="1151"/>
      <c r="G10" s="277"/>
      <c r="H10" s="278"/>
      <c r="I10" s="278"/>
      <c r="J10" s="1204">
        <f>IFERROR(IF($CA$3=4,VLOOKUP($AP$5,STUDENT!$T$9:$AO$20,L1,0),0),0)</f>
        <v>0</v>
      </c>
      <c r="K10" s="1205"/>
      <c r="L10" s="1134">
        <f>IFERROR(IF($CA$3=4,VLOOKUP($AP$5,STUDENT!$T$9:$AO$20,N1,0),0),0)</f>
        <v>0</v>
      </c>
      <c r="M10" s="1134"/>
      <c r="N10" s="1134"/>
      <c r="O10" s="1134"/>
      <c r="P10" s="1168">
        <f>IFERROR(IF($CA$3=4,VLOOKUP($AP$5,STUDENT!$T$9:$AO$20,P1,0),0),0)</f>
        <v>0</v>
      </c>
      <c r="Q10" s="1168"/>
      <c r="R10" s="1168">
        <f>IFERROR(IF($CA$3=4,VLOOKUP($AP$5,STUDENT!$T$9:$AO$20,R1,0),0),0)</f>
        <v>0</v>
      </c>
      <c r="S10" s="1168"/>
      <c r="T10" s="1132">
        <f>IFERROR(IF($CA$3=4,VLOOKUP($AP$5,DATA!$U$8:$BL$19,T1,0),0),0)</f>
        <v>0</v>
      </c>
      <c r="U10" s="1132"/>
      <c r="V10" s="1132">
        <f>IFERROR(IF($CA$3=4,VLOOKUP($AP$5,DATA!$U$8:$BL$19,V1,0),0),0)</f>
        <v>0</v>
      </c>
      <c r="W10" s="1132"/>
      <c r="X10" s="1132">
        <f>IFERROR(IF($CA$3=4,VLOOKUP($AP$5,DATA!$U$8:$BL$19,X1,0),0),0)</f>
        <v>0</v>
      </c>
      <c r="Y10" s="1132"/>
      <c r="Z10" s="1132">
        <f>IFERROR(IF($CA$3=4,VLOOKUP($AP$5,DATA!$U$8:$BL$19,Z1,0),0),0)</f>
        <v>0</v>
      </c>
      <c r="AA10" s="1132"/>
      <c r="AB10" s="1132">
        <f>IFERROR(IF($CA$3=4,VLOOKUP($AP$5,DATA!$U$8:$BL$19,AB1,0),0),0)</f>
        <v>0</v>
      </c>
      <c r="AC10" s="1132"/>
      <c r="AD10" s="1132">
        <f>IFERROR(IF($CA$3=4,VLOOKUP($AP$5,DATA!$U$8:$BL$19,AD1,0),0),0)</f>
        <v>0</v>
      </c>
      <c r="AE10" s="1132"/>
      <c r="AF10" s="1132">
        <f>IFERROR(IF($CA$3=4,VLOOKUP($AP$5,DATA!$U$8:$BL$19,AF1,0),0),0)</f>
        <v>0</v>
      </c>
      <c r="AG10" s="1132"/>
      <c r="AH10" s="1132">
        <f>IFERROR(IF($CA$3=4,VLOOKUP($AP$5,DATA!$U$8:$BL$19,AH1,0),0),0)</f>
        <v>0</v>
      </c>
      <c r="AI10" s="1132"/>
      <c r="AJ10" s="1132">
        <f>IFERROR(IF($CA$3=4,(IF(VLOOKUP($AP$5,DATA!$U$8:$BL$19,AJ1,0)&gt;=1,VLOOKUP($AP$5,DATA!$U$8:$BL$19,AJ1,0),0)),0),0)</f>
        <v>0</v>
      </c>
      <c r="AK10" s="1132"/>
      <c r="AL10" s="1132">
        <f>IFERROR(IF($CA$3=4,(IF(VLOOKUP($AP$5,DATA!$U$8:$BL$19,AL1,0)&gt;=1,VLOOKUP($AP$5,DATA!$U$8:$BL$19,AL1,0),0)),0),0)</f>
        <v>0</v>
      </c>
      <c r="AM10" s="1132"/>
      <c r="AN10" s="1132">
        <f>IFERROR(IF($CA$3=4,(IF(VLOOKUP($AP$5,DATA!$U$8:$BL$19,AN1,0)&gt;=1,VLOOKUP($AP$5,DATA!$U$8:$BL$19,AN1,0),0)),0),0)</f>
        <v>0</v>
      </c>
      <c r="AO10" s="1132"/>
      <c r="AP10" s="1132">
        <f>IFERROR(IF($CA$3=4,(IF(VLOOKUP($AP$5,DATA!$U$8:$BL$19,AP1,0)&gt;=1,VLOOKUP($AP$5,DATA!$U$8:$BL$19,AP1,0),0)),0),0)</f>
        <v>0</v>
      </c>
      <c r="AQ10" s="1132"/>
      <c r="AR10" s="1132">
        <f>T10+AB10+AJ10</f>
        <v>0</v>
      </c>
      <c r="AS10" s="1132"/>
      <c r="AT10" s="1132">
        <f t="shared" ref="AT10" si="0">V10+AD10+AL10</f>
        <v>0</v>
      </c>
      <c r="AU10" s="1132"/>
      <c r="AV10" s="1132">
        <f t="shared" ref="AV10" si="1">X10+AF10+AN10</f>
        <v>0</v>
      </c>
      <c r="AW10" s="1132"/>
      <c r="AX10" s="1132">
        <f t="shared" ref="AX10" si="2">Z10+AH10+AP10</f>
        <v>0</v>
      </c>
      <c r="AY10" s="1132"/>
      <c r="AZ10" s="1132">
        <f>IFERROR(IF($CA$3=4,VLOOKUP($AP$5,DATA!$U$8:$BL$19,AZ1,0),0),0)</f>
        <v>0</v>
      </c>
      <c r="BA10" s="1132"/>
      <c r="BB10" s="1132">
        <f>IFERROR(IF($CA$3=4,VLOOKUP($AP$5,DATA!$U$8:$BL$19,BB1,0),0),0)</f>
        <v>0</v>
      </c>
      <c r="BC10" s="1132"/>
      <c r="BD10" s="1132">
        <f>IFERROR(IF($CA$3=4,VLOOKUP($AP$5,DATA!$U$8:$BL$19,BD1,0),0),0)</f>
        <v>0</v>
      </c>
      <c r="BE10" s="1132"/>
      <c r="BF10" s="1132">
        <f>IFERROR(IF($CA$3=4,VLOOKUP($AP$5,DATA!$U$8:$BL$19,BF1,0),0),0)</f>
        <v>0</v>
      </c>
      <c r="BG10" s="1132"/>
      <c r="BH10" s="1132">
        <f>IFERROR(IF($CA$3=4,(IF(VLOOKUP($AP$5,DATA!$U$8:$BL$19,BH1,0)&lt;0,VLOOKUP($AP$5,DATA!$U$8:$BL$19,BH1,0)*(-1),0)),0),0)</f>
        <v>0</v>
      </c>
      <c r="BI10" s="1132"/>
      <c r="BJ10" s="1132">
        <f>IFERROR(IF($CA$3=4,(IF(VLOOKUP($AP$5,DATA!$U$8:$BL$19,BJ1,0)&lt;0,VLOOKUP($AP$5,DATA!$U$8:$BL$19,BJ1,0)*(-1),0)),0),0)</f>
        <v>0</v>
      </c>
      <c r="BK10" s="1132"/>
      <c r="BL10" s="1132">
        <f>IFERROR(IF($CA$3=4,(IF(VLOOKUP($AP$5,DATA!$U$8:$BL$19,BL1,0)&lt;0,VLOOKUP($AP$5,DATA!$U$8:$BL$19,BL1,0)*(-1),0)),0),0)</f>
        <v>0</v>
      </c>
      <c r="BM10" s="1132"/>
      <c r="BN10" s="1132">
        <f>IFERROR(IF($CA$3=4,(IF(VLOOKUP($AP$5,DATA!$U$8:$BL$19,BN1,0)&lt;0,VLOOKUP($AP$5,DATA!$U$8:$BL$19,BN1,0)*(-1),0)),0),0)</f>
        <v>0</v>
      </c>
      <c r="BO10" s="1132"/>
      <c r="BP10" s="1132">
        <f>AR10-AZ10-BH10</f>
        <v>0</v>
      </c>
      <c r="BQ10" s="1132"/>
      <c r="BR10" s="1132">
        <f t="shared" ref="BR10" si="3">AT10-BB10-BJ10</f>
        <v>0</v>
      </c>
      <c r="BS10" s="1132"/>
      <c r="BT10" s="1132">
        <f t="shared" ref="BT10" si="4">AV10-BD10-BL10</f>
        <v>0</v>
      </c>
      <c r="BU10" s="1132"/>
      <c r="BV10" s="1132">
        <f t="shared" ref="BV10" si="5">AX10-BF10-BN10</f>
        <v>0</v>
      </c>
      <c r="BW10" s="1132"/>
      <c r="BX10" s="434">
        <f>IFERROR(IF($CA$3=4,VLOOKUP($AP$5,STUDENT!$T$9:$AT$20,BX1,0),0),0)</f>
        <v>0</v>
      </c>
      <c r="BY10" s="505">
        <f>IFERROR(IF($CA$3=4,VLOOKUP($AP$5,STUDENT!$T$9:$AT$20,BY1,0),0),0)</f>
        <v>0</v>
      </c>
    </row>
    <row r="11" spans="6:80" ht="21.95" customHeight="1" thickBot="1" x14ac:dyDescent="0.4">
      <c r="F11" s="1138" t="s">
        <v>104</v>
      </c>
      <c r="G11" s="1138"/>
      <c r="H11" s="1138"/>
      <c r="I11" s="1138"/>
      <c r="J11" s="1138"/>
      <c r="K11" s="1138"/>
      <c r="L11" s="1138"/>
      <c r="M11" s="1138"/>
      <c r="N11" s="1138"/>
      <c r="O11" s="1138"/>
      <c r="P11" s="1138"/>
      <c r="Q11" s="1138"/>
      <c r="R11" s="1138"/>
      <c r="S11" s="1138"/>
      <c r="T11" s="1138"/>
      <c r="U11" s="1138"/>
      <c r="V11" s="1138"/>
      <c r="W11" s="1138"/>
      <c r="X11" s="1138"/>
      <c r="Y11" s="1138"/>
      <c r="Z11" s="1138"/>
      <c r="AA11" s="1138"/>
      <c r="AB11" s="1138"/>
      <c r="AC11" s="1138"/>
      <c r="AD11" s="1138"/>
      <c r="AE11" s="1138"/>
      <c r="AF11" s="1138"/>
      <c r="AG11" s="1138"/>
      <c r="AH11" s="1138"/>
      <c r="AI11" s="1138"/>
      <c r="AJ11" s="1138"/>
      <c r="AK11" s="1138"/>
      <c r="AL11" s="1138"/>
      <c r="AM11" s="1138"/>
      <c r="AN11" s="1138"/>
      <c r="AO11" s="1138"/>
      <c r="AP11" s="1138"/>
      <c r="AQ11" s="1138"/>
      <c r="AR11" s="1138"/>
      <c r="AS11" s="1138"/>
      <c r="AT11" s="1138"/>
      <c r="AU11" s="1138"/>
      <c r="AV11" s="1138"/>
      <c r="AW11" s="1138"/>
      <c r="AX11" s="1138"/>
      <c r="AY11" s="1138"/>
      <c r="AZ11" s="1138"/>
      <c r="BA11" s="1138"/>
      <c r="BB11" s="1138"/>
      <c r="BC11" s="1138"/>
      <c r="BD11" s="1138"/>
      <c r="BE11" s="1138"/>
      <c r="BF11" s="1138"/>
      <c r="BG11" s="1138"/>
      <c r="BH11" s="1138"/>
      <c r="BI11" s="1138"/>
      <c r="BJ11" s="1138"/>
      <c r="BK11" s="1138"/>
      <c r="BL11" s="1138"/>
      <c r="BM11" s="1138"/>
      <c r="BN11" s="1138"/>
      <c r="BO11" s="1138"/>
      <c r="BP11" s="1138"/>
      <c r="BQ11" s="1138"/>
      <c r="BR11" s="1138"/>
      <c r="BS11" s="1138"/>
      <c r="BT11" s="1138"/>
      <c r="BU11" s="1138"/>
      <c r="BV11" s="1138"/>
      <c r="BW11" s="1138"/>
      <c r="BX11" s="1138"/>
      <c r="BY11" s="1138"/>
    </row>
    <row r="12" spans="6:80" ht="30" customHeight="1" x14ac:dyDescent="0.25">
      <c r="F12" s="1149"/>
      <c r="G12" s="1206"/>
      <c r="H12" s="1206"/>
      <c r="I12" s="1206"/>
      <c r="J12" s="1206"/>
      <c r="K12" s="1207"/>
      <c r="L12" s="1166" t="s">
        <v>11</v>
      </c>
      <c r="M12" s="1158"/>
      <c r="N12" s="1158"/>
      <c r="O12" s="1158"/>
      <c r="P12" s="1158"/>
      <c r="Q12" s="1158"/>
      <c r="R12" s="1158"/>
      <c r="S12" s="1158"/>
      <c r="T12" s="1158"/>
      <c r="U12" s="1158" t="s">
        <v>12</v>
      </c>
      <c r="V12" s="1158"/>
      <c r="W12" s="1158"/>
      <c r="X12" s="1158"/>
      <c r="Y12" s="1158"/>
      <c r="Z12" s="1158"/>
      <c r="AA12" s="1158"/>
      <c r="AB12" s="1158"/>
      <c r="AC12" s="1158"/>
      <c r="AD12" s="1158" t="s">
        <v>13</v>
      </c>
      <c r="AE12" s="1158"/>
      <c r="AF12" s="1158"/>
      <c r="AG12" s="1158"/>
      <c r="AH12" s="1158"/>
      <c r="AI12" s="1158"/>
      <c r="AJ12" s="1158"/>
      <c r="AK12" s="1158"/>
      <c r="AL12" s="1158"/>
      <c r="AM12" s="1158" t="s">
        <v>100</v>
      </c>
      <c r="AN12" s="1158"/>
      <c r="AO12" s="1158"/>
      <c r="AP12" s="1158"/>
      <c r="AQ12" s="1158"/>
      <c r="AR12" s="1158"/>
      <c r="AS12" s="1158"/>
      <c r="AT12" s="1158"/>
      <c r="AU12" s="1158"/>
      <c r="AV12" s="1158"/>
      <c r="AW12" s="1158"/>
      <c r="AX12" s="1158"/>
      <c r="AY12" s="1158"/>
      <c r="AZ12" s="1158"/>
      <c r="BA12" s="1158"/>
      <c r="BB12" s="1158"/>
      <c r="BC12" s="1158"/>
      <c r="BD12" s="1158"/>
      <c r="BE12" s="1158"/>
      <c r="BF12" s="1158"/>
      <c r="BG12" s="1158"/>
      <c r="BH12" s="1158"/>
      <c r="BI12" s="1158"/>
      <c r="BJ12" s="1158"/>
      <c r="BK12" s="1158"/>
      <c r="BL12" s="1158"/>
      <c r="BM12" s="1158"/>
      <c r="BN12" s="1153" t="s">
        <v>101</v>
      </c>
      <c r="BO12" s="1153"/>
      <c r="BP12" s="1153"/>
      <c r="BQ12" s="1153"/>
      <c r="BR12" s="1153"/>
      <c r="BS12" s="1153"/>
      <c r="BT12" s="1153"/>
      <c r="BU12" s="1153"/>
      <c r="BV12" s="1154"/>
      <c r="BW12" s="1157"/>
      <c r="BX12" s="1157"/>
      <c r="BY12" s="1157"/>
    </row>
    <row r="13" spans="6:80" ht="30" customHeight="1" x14ac:dyDescent="0.25">
      <c r="F13" s="1150"/>
      <c r="G13" s="1174"/>
      <c r="H13" s="1174"/>
      <c r="I13" s="1174"/>
      <c r="J13" s="1174"/>
      <c r="K13" s="1208"/>
      <c r="L13" s="1167"/>
      <c r="M13" s="1159"/>
      <c r="N13" s="1159"/>
      <c r="O13" s="1159"/>
      <c r="P13" s="1159"/>
      <c r="Q13" s="1159"/>
      <c r="R13" s="1159"/>
      <c r="S13" s="1159"/>
      <c r="T13" s="1159"/>
      <c r="U13" s="1159"/>
      <c r="V13" s="1159"/>
      <c r="W13" s="1159"/>
      <c r="X13" s="1159"/>
      <c r="Y13" s="1159"/>
      <c r="Z13" s="1159"/>
      <c r="AA13" s="1159"/>
      <c r="AB13" s="1159"/>
      <c r="AC13" s="1159"/>
      <c r="AD13" s="1159"/>
      <c r="AE13" s="1159"/>
      <c r="AF13" s="1159"/>
      <c r="AG13" s="1159"/>
      <c r="AH13" s="1159"/>
      <c r="AI13" s="1159"/>
      <c r="AJ13" s="1159"/>
      <c r="AK13" s="1159"/>
      <c r="AL13" s="1159"/>
      <c r="AM13" s="1155" t="s">
        <v>102</v>
      </c>
      <c r="AN13" s="1155"/>
      <c r="AO13" s="1155"/>
      <c r="AP13" s="1155"/>
      <c r="AQ13" s="1155"/>
      <c r="AR13" s="1155"/>
      <c r="AS13" s="1155"/>
      <c r="AT13" s="1155"/>
      <c r="AU13" s="1155"/>
      <c r="AV13" s="1155" t="s">
        <v>103</v>
      </c>
      <c r="AW13" s="1155"/>
      <c r="AX13" s="1155"/>
      <c r="AY13" s="1155"/>
      <c r="AZ13" s="1155"/>
      <c r="BA13" s="1155"/>
      <c r="BB13" s="1155"/>
      <c r="BC13" s="1155"/>
      <c r="BD13" s="1155"/>
      <c r="BE13" s="1159" t="s">
        <v>1</v>
      </c>
      <c r="BF13" s="1159"/>
      <c r="BG13" s="1159"/>
      <c r="BH13" s="1159"/>
      <c r="BI13" s="1159"/>
      <c r="BJ13" s="1159"/>
      <c r="BK13" s="1159"/>
      <c r="BL13" s="1159"/>
      <c r="BM13" s="1159"/>
      <c r="BN13" s="1155"/>
      <c r="BO13" s="1155"/>
      <c r="BP13" s="1155"/>
      <c r="BQ13" s="1155"/>
      <c r="BR13" s="1155"/>
      <c r="BS13" s="1155"/>
      <c r="BT13" s="1155"/>
      <c r="BU13" s="1155"/>
      <c r="BV13" s="1156"/>
      <c r="BW13" s="1157"/>
      <c r="BX13" s="1157"/>
      <c r="BY13" s="1157"/>
    </row>
    <row r="14" spans="6:80" ht="30" customHeight="1" thickBot="1" x14ac:dyDescent="0.3">
      <c r="F14" s="1151"/>
      <c r="G14" s="1209"/>
      <c r="H14" s="1209"/>
      <c r="I14" s="1209"/>
      <c r="J14" s="1209"/>
      <c r="K14" s="1210"/>
      <c r="L14" s="1164">
        <f>IFERROR(IF($CA$3=4,VLOOKUP($AP$5,PAYMENT!$AG$8:$AT$19,2,0),0),0)</f>
        <v>0</v>
      </c>
      <c r="M14" s="1165"/>
      <c r="N14" s="1165"/>
      <c r="O14" s="1165"/>
      <c r="P14" s="1165"/>
      <c r="Q14" s="1165"/>
      <c r="R14" s="1165"/>
      <c r="S14" s="1165"/>
      <c r="T14" s="1165"/>
      <c r="U14" s="1165">
        <f>IFERROR(IF($CA$3=4,VLOOKUP($AP$5,PAYMENT!$AG$8:$AT$19,5,0),0),0)</f>
        <v>0</v>
      </c>
      <c r="V14" s="1165"/>
      <c r="W14" s="1165"/>
      <c r="X14" s="1165"/>
      <c r="Y14" s="1165"/>
      <c r="Z14" s="1165"/>
      <c r="AA14" s="1165"/>
      <c r="AB14" s="1165"/>
      <c r="AC14" s="1165"/>
      <c r="AD14" s="1165">
        <f>L14+U14</f>
        <v>0</v>
      </c>
      <c r="AE14" s="1165"/>
      <c r="AF14" s="1165"/>
      <c r="AG14" s="1165"/>
      <c r="AH14" s="1165"/>
      <c r="AI14" s="1165"/>
      <c r="AJ14" s="1165"/>
      <c r="AK14" s="1165"/>
      <c r="AL14" s="1165"/>
      <c r="AM14" s="1165">
        <f>IFERROR(IF($CA$3=4,VLOOKUP($AP$5,PAYMENT!$AG$8:$AT$19,8,0),0),0)</f>
        <v>0</v>
      </c>
      <c r="AN14" s="1165"/>
      <c r="AO14" s="1165"/>
      <c r="AP14" s="1165"/>
      <c r="AQ14" s="1165"/>
      <c r="AR14" s="1165"/>
      <c r="AS14" s="1165"/>
      <c r="AT14" s="1165"/>
      <c r="AU14" s="1165"/>
      <c r="AV14" s="1165">
        <f>IFERROR(IF($CA$3=4,VLOOKUP($AP$5,PAYMENT!$AG$8:$AT$19,9,0),0),0)</f>
        <v>0</v>
      </c>
      <c r="AW14" s="1165"/>
      <c r="AX14" s="1165"/>
      <c r="AY14" s="1165"/>
      <c r="AZ14" s="1165"/>
      <c r="BA14" s="1165"/>
      <c r="BB14" s="1165"/>
      <c r="BC14" s="1165"/>
      <c r="BD14" s="1165"/>
      <c r="BE14" s="1165">
        <f>ROUND(AM14+AV14,0)</f>
        <v>0</v>
      </c>
      <c r="BF14" s="1165"/>
      <c r="BG14" s="1165"/>
      <c r="BH14" s="1165"/>
      <c r="BI14" s="1165"/>
      <c r="BJ14" s="1165"/>
      <c r="BK14" s="1165"/>
      <c r="BL14" s="1165"/>
      <c r="BM14" s="1165"/>
      <c r="BN14" s="1165">
        <f>AD14-BE14</f>
        <v>0</v>
      </c>
      <c r="BO14" s="1165"/>
      <c r="BP14" s="1165"/>
      <c r="BQ14" s="1165"/>
      <c r="BR14" s="1165"/>
      <c r="BS14" s="1165"/>
      <c r="BT14" s="1165"/>
      <c r="BU14" s="1165"/>
      <c r="BV14" s="1183"/>
      <c r="BW14" s="1169"/>
      <c r="BX14" s="1170"/>
      <c r="BY14" s="1171"/>
    </row>
    <row r="15" spans="6:80" ht="21.95" customHeight="1" thickBot="1" x14ac:dyDescent="0.4">
      <c r="F15" s="1137" t="s">
        <v>116</v>
      </c>
      <c r="G15" s="1137"/>
      <c r="H15" s="1137"/>
      <c r="I15" s="1137"/>
      <c r="J15" s="1137"/>
      <c r="K15" s="1137"/>
      <c r="L15" s="1137"/>
      <c r="M15" s="1137"/>
      <c r="N15" s="1137"/>
      <c r="O15" s="1137"/>
      <c r="P15" s="1137"/>
      <c r="Q15" s="1137"/>
      <c r="R15" s="1137"/>
      <c r="S15" s="1137"/>
      <c r="T15" s="1137"/>
      <c r="U15" s="1137"/>
      <c r="V15" s="1137"/>
      <c r="W15" s="1137"/>
      <c r="X15" s="1137"/>
      <c r="Y15" s="1137"/>
      <c r="Z15" s="1137"/>
      <c r="AA15" s="1137"/>
      <c r="AB15" s="1137"/>
      <c r="AC15" s="1137"/>
      <c r="AD15" s="1137"/>
      <c r="AE15" s="1137"/>
      <c r="AF15" s="1137"/>
      <c r="AG15" s="1137"/>
      <c r="AH15" s="1137"/>
      <c r="AI15" s="1137"/>
      <c r="AJ15" s="1137"/>
      <c r="AK15" s="1137"/>
      <c r="AL15" s="1137"/>
      <c r="AM15" s="1137"/>
      <c r="AN15" s="1137"/>
      <c r="AO15" s="1137"/>
      <c r="AP15" s="1137"/>
      <c r="AQ15" s="1137"/>
      <c r="AR15" s="1137"/>
      <c r="AS15" s="1137"/>
      <c r="AT15" s="1137"/>
      <c r="AU15" s="1137"/>
      <c r="AV15" s="1137"/>
      <c r="AW15" s="1137"/>
      <c r="AX15" s="1137"/>
      <c r="AY15" s="1137"/>
      <c r="AZ15" s="1137"/>
      <c r="BA15" s="1137"/>
      <c r="BB15" s="1137"/>
      <c r="BC15" s="1137"/>
      <c r="BD15" s="1137"/>
      <c r="BE15" s="1137"/>
      <c r="BF15" s="1137"/>
      <c r="BG15" s="1137"/>
      <c r="BH15" s="1137"/>
      <c r="BI15" s="1137"/>
      <c r="BJ15" s="1137"/>
      <c r="BK15" s="1137"/>
      <c r="BL15" s="1137"/>
      <c r="BM15" s="1137"/>
      <c r="BN15" s="1137"/>
      <c r="BO15" s="1137"/>
      <c r="BP15" s="1137"/>
      <c r="BQ15" s="1137"/>
      <c r="BR15" s="1137"/>
      <c r="BS15" s="1137"/>
      <c r="BT15" s="1137"/>
      <c r="BU15" s="1137"/>
      <c r="BV15" s="1137"/>
      <c r="BW15" s="1137"/>
      <c r="BX15" s="1137"/>
      <c r="BY15" s="1137"/>
    </row>
    <row r="16" spans="6:80" ht="35.1" customHeight="1" x14ac:dyDescent="0.25">
      <c r="F16" s="1149"/>
      <c r="G16" s="273"/>
      <c r="H16" s="274"/>
      <c r="I16" s="274"/>
      <c r="J16" s="1184" t="s">
        <v>105</v>
      </c>
      <c r="K16" s="1185"/>
      <c r="L16" s="1185"/>
      <c r="M16" s="1185"/>
      <c r="N16" s="1185"/>
      <c r="O16" s="1185"/>
      <c r="P16" s="1185"/>
      <c r="Q16" s="1186"/>
      <c r="R16" s="1172" t="s">
        <v>106</v>
      </c>
      <c r="S16" s="1172"/>
      <c r="T16" s="1172"/>
      <c r="U16" s="1172"/>
      <c r="V16" s="1172"/>
      <c r="W16" s="1172"/>
      <c r="X16" s="1172"/>
      <c r="Y16" s="1172"/>
      <c r="Z16" s="1172"/>
      <c r="AA16" s="1172"/>
      <c r="AB16" s="1172"/>
      <c r="AC16" s="1172"/>
      <c r="AD16" s="1172"/>
      <c r="AE16" s="1172"/>
      <c r="AF16" s="1172"/>
      <c r="AG16" s="1172"/>
      <c r="AH16" s="1172"/>
      <c r="AI16" s="1172"/>
      <c r="AJ16" s="1172"/>
      <c r="AK16" s="1172"/>
      <c r="AL16" s="1172"/>
      <c r="AM16" s="1172"/>
      <c r="AN16" s="1172"/>
      <c r="AO16" s="1172"/>
      <c r="AP16" s="1173" t="s">
        <v>108</v>
      </c>
      <c r="AQ16" s="1173"/>
      <c r="AR16" s="1173"/>
      <c r="AS16" s="1173"/>
      <c r="AT16" s="1173"/>
      <c r="AU16" s="1173"/>
      <c r="AV16" s="1173"/>
      <c r="AW16" s="1173"/>
      <c r="AX16" s="1173"/>
      <c r="AY16" s="1173" t="s">
        <v>109</v>
      </c>
      <c r="AZ16" s="1173"/>
      <c r="BA16" s="1173"/>
      <c r="BB16" s="1173"/>
      <c r="BC16" s="1173"/>
      <c r="BD16" s="1173"/>
      <c r="BE16" s="1173" t="s">
        <v>110</v>
      </c>
      <c r="BF16" s="1173"/>
      <c r="BG16" s="1173"/>
      <c r="BH16" s="1173"/>
      <c r="BI16" s="1173"/>
      <c r="BJ16" s="1173"/>
      <c r="BK16" s="1173"/>
      <c r="BL16" s="1131" t="s">
        <v>111</v>
      </c>
      <c r="BM16" s="1131"/>
      <c r="BN16" s="1131"/>
      <c r="BO16" s="1176" t="s">
        <v>112</v>
      </c>
      <c r="BP16" s="1176"/>
      <c r="BQ16" s="1176"/>
      <c r="BR16" s="1131" t="s">
        <v>113</v>
      </c>
      <c r="BS16" s="1131"/>
      <c r="BT16" s="1131"/>
      <c r="BU16" s="1176" t="s">
        <v>115</v>
      </c>
      <c r="BV16" s="1176"/>
      <c r="BW16" s="1176"/>
      <c r="BX16" s="1178" t="s">
        <v>114</v>
      </c>
      <c r="BY16" s="1179"/>
      <c r="BZ16" s="3">
        <f>IFERROR(IF($CA$3=4,VLOOKUP($AP$5,PROFILE!$H$4:$AD$15,15,0),0),0)</f>
        <v>0</v>
      </c>
      <c r="CA16" s="3">
        <f>IF(LEN(BZ16)&gt;=5,VLOOKUP(BZ16,PROFILE!AG2:AH5,2,0),0)</f>
        <v>0</v>
      </c>
      <c r="CB16" s="3">
        <f>CA16*10+CA17</f>
        <v>0</v>
      </c>
    </row>
    <row r="17" spans="6:79" ht="35.1" customHeight="1" x14ac:dyDescent="0.25">
      <c r="F17" s="1150"/>
      <c r="G17" s="275"/>
      <c r="H17" s="276"/>
      <c r="I17" s="276"/>
      <c r="J17" s="1140" t="s">
        <v>82</v>
      </c>
      <c r="K17" s="1141"/>
      <c r="L17" s="1141"/>
      <c r="M17" s="1139" t="s">
        <v>76</v>
      </c>
      <c r="N17" s="1139"/>
      <c r="O17" s="1139"/>
      <c r="P17" s="1139"/>
      <c r="Q17" s="1139"/>
      <c r="R17" s="1175" t="s">
        <v>58</v>
      </c>
      <c r="S17" s="1175"/>
      <c r="T17" s="1175"/>
      <c r="U17" s="1175"/>
      <c r="V17" s="1175"/>
      <c r="W17" s="1175"/>
      <c r="X17" s="1175" t="s">
        <v>107</v>
      </c>
      <c r="Y17" s="1175"/>
      <c r="Z17" s="1175"/>
      <c r="AA17" s="1175"/>
      <c r="AB17" s="1175"/>
      <c r="AC17" s="1175"/>
      <c r="AD17" s="1175" t="s">
        <v>63</v>
      </c>
      <c r="AE17" s="1175"/>
      <c r="AF17" s="1175"/>
      <c r="AG17" s="1175"/>
      <c r="AH17" s="1175"/>
      <c r="AI17" s="1175"/>
      <c r="AJ17" s="1175" t="s">
        <v>62</v>
      </c>
      <c r="AK17" s="1175"/>
      <c r="AL17" s="1175"/>
      <c r="AM17" s="1175"/>
      <c r="AN17" s="1175"/>
      <c r="AO17" s="1175"/>
      <c r="AP17" s="1174"/>
      <c r="AQ17" s="1174"/>
      <c r="AR17" s="1174"/>
      <c r="AS17" s="1174"/>
      <c r="AT17" s="1174"/>
      <c r="AU17" s="1174"/>
      <c r="AV17" s="1174"/>
      <c r="AW17" s="1174"/>
      <c r="AX17" s="1174"/>
      <c r="AY17" s="1174"/>
      <c r="AZ17" s="1174"/>
      <c r="BA17" s="1174"/>
      <c r="BB17" s="1174"/>
      <c r="BC17" s="1174"/>
      <c r="BD17" s="1174"/>
      <c r="BE17" s="1174"/>
      <c r="BF17" s="1174"/>
      <c r="BG17" s="1174"/>
      <c r="BH17" s="1174"/>
      <c r="BI17" s="1174"/>
      <c r="BJ17" s="1174"/>
      <c r="BK17" s="1174"/>
      <c r="BL17" s="1175"/>
      <c r="BM17" s="1175"/>
      <c r="BN17" s="1175"/>
      <c r="BO17" s="1177"/>
      <c r="BP17" s="1177"/>
      <c r="BQ17" s="1177"/>
      <c r="BR17" s="1175"/>
      <c r="BS17" s="1175"/>
      <c r="BT17" s="1175"/>
      <c r="BU17" s="1177"/>
      <c r="BV17" s="1177"/>
      <c r="BW17" s="1177"/>
      <c r="BX17" s="1180"/>
      <c r="BY17" s="1181"/>
      <c r="BZ17" s="3">
        <f>IFERROR(IF($CA$3=4,VLOOKUP($AP$5,PROFILE!$H$4:$AD$15,16,0),0),0)</f>
        <v>0</v>
      </c>
      <c r="CA17" s="3">
        <f>IF(LEN(BZ17)&gt;=2,VLOOKUP(BZ17,PROFILE!AI2:AJ3,2,0),0)</f>
        <v>0</v>
      </c>
    </row>
    <row r="18" spans="6:79" ht="21" customHeight="1" x14ac:dyDescent="0.25">
      <c r="F18" s="1150"/>
      <c r="G18" s="275"/>
      <c r="H18" s="276"/>
      <c r="I18" s="276"/>
      <c r="J18" s="1140"/>
      <c r="K18" s="1141"/>
      <c r="L18" s="1141"/>
      <c r="M18" s="1139"/>
      <c r="N18" s="1139"/>
      <c r="O18" s="1139"/>
      <c r="P18" s="1139"/>
      <c r="Q18" s="1139"/>
      <c r="R18" s="1182" t="s">
        <v>59</v>
      </c>
      <c r="S18" s="1182"/>
      <c r="T18" s="1182"/>
      <c r="U18" s="1182" t="s">
        <v>60</v>
      </c>
      <c r="V18" s="1182"/>
      <c r="W18" s="1182"/>
      <c r="X18" s="1182" t="s">
        <v>59</v>
      </c>
      <c r="Y18" s="1182"/>
      <c r="Z18" s="1182"/>
      <c r="AA18" s="1182" t="s">
        <v>60</v>
      </c>
      <c r="AB18" s="1182"/>
      <c r="AC18" s="1182"/>
      <c r="AD18" s="1182" t="s">
        <v>59</v>
      </c>
      <c r="AE18" s="1182"/>
      <c r="AF18" s="1182"/>
      <c r="AG18" s="1182" t="s">
        <v>60</v>
      </c>
      <c r="AH18" s="1182"/>
      <c r="AI18" s="1182"/>
      <c r="AJ18" s="1182" t="s">
        <v>59</v>
      </c>
      <c r="AK18" s="1182"/>
      <c r="AL18" s="1182"/>
      <c r="AM18" s="1182" t="s">
        <v>60</v>
      </c>
      <c r="AN18" s="1182"/>
      <c r="AO18" s="1182"/>
      <c r="AP18" s="1182" t="s">
        <v>64</v>
      </c>
      <c r="AQ18" s="1182"/>
      <c r="AR18" s="1182"/>
      <c r="AS18" s="1182" t="s">
        <v>65</v>
      </c>
      <c r="AT18" s="1182"/>
      <c r="AU18" s="1182"/>
      <c r="AV18" s="1182" t="s">
        <v>66</v>
      </c>
      <c r="AW18" s="1182"/>
      <c r="AX18" s="1182"/>
      <c r="AY18" s="1182" t="s">
        <v>53</v>
      </c>
      <c r="AZ18" s="1182"/>
      <c r="BA18" s="1182"/>
      <c r="BB18" s="1182" t="s">
        <v>54</v>
      </c>
      <c r="BC18" s="1182"/>
      <c r="BD18" s="1182"/>
      <c r="BE18" s="1174"/>
      <c r="BF18" s="1174"/>
      <c r="BG18" s="1174"/>
      <c r="BH18" s="1174"/>
      <c r="BI18" s="1174"/>
      <c r="BJ18" s="1174"/>
      <c r="BK18" s="1174"/>
      <c r="BL18" s="1175"/>
      <c r="BM18" s="1175"/>
      <c r="BN18" s="1175"/>
      <c r="BO18" s="1177"/>
      <c r="BP18" s="1177"/>
      <c r="BQ18" s="1177"/>
      <c r="BR18" s="1175"/>
      <c r="BS18" s="1175"/>
      <c r="BT18" s="1175"/>
      <c r="BU18" s="1177"/>
      <c r="BV18" s="1177"/>
      <c r="BW18" s="1177"/>
      <c r="BX18" s="1180"/>
      <c r="BY18" s="1181"/>
      <c r="BZ18" s="3">
        <f>IFERROR(IF($CA$3=4,VLOOKUP($AP$5,PROFILE!$H$4:$AD$15,17,0),0),0)</f>
        <v>0</v>
      </c>
      <c r="CA18" s="3">
        <f>IF(LEN(BZ18)&gt;=2,VLOOKUP(BZ18,PROFILE!AK2:AL4,2,0),0)</f>
        <v>0</v>
      </c>
    </row>
    <row r="19" spans="6:79" ht="28.5" customHeight="1" thickBot="1" x14ac:dyDescent="0.3">
      <c r="F19" s="1151"/>
      <c r="G19" s="277"/>
      <c r="H19" s="278"/>
      <c r="I19" s="278"/>
      <c r="J19" s="1142">
        <f>IFERROR(IF($CA$3=4,VLOOKUP($AP$5,STUDENT!T9:AO20,16,0),0),0)</f>
        <v>0</v>
      </c>
      <c r="K19" s="1143"/>
      <c r="L19" s="1143"/>
      <c r="M19" s="1144">
        <f>IFERROR(IF($CA$3=4,VLOOKUP($AP$5,STUDENT!T9:AO20,17,0),0),0)</f>
        <v>0</v>
      </c>
      <c r="N19" s="1144"/>
      <c r="O19" s="1144"/>
      <c r="P19" s="1144"/>
      <c r="Q19" s="1144"/>
      <c r="R19" s="1190" t="str">
        <f>IF($CB$16=11,$BZ$19,"")</f>
        <v/>
      </c>
      <c r="S19" s="1190"/>
      <c r="T19" s="1190"/>
      <c r="U19" s="1190" t="str">
        <f>IF($CB$16=12,$BZ$19,"")</f>
        <v/>
      </c>
      <c r="V19" s="1190"/>
      <c r="W19" s="1190"/>
      <c r="X19" s="1190" t="str">
        <f>IF($CB$16=21,$BZ$19,"")</f>
        <v/>
      </c>
      <c r="Y19" s="1190"/>
      <c r="Z19" s="1190"/>
      <c r="AA19" s="1190" t="str">
        <f>IF($CB$16=22,$BZ$19,"")</f>
        <v/>
      </c>
      <c r="AB19" s="1190"/>
      <c r="AC19" s="1190"/>
      <c r="AD19" s="1190" t="str">
        <f>IF($CB$16=31,$BZ$19,"")</f>
        <v/>
      </c>
      <c r="AE19" s="1190"/>
      <c r="AF19" s="1190"/>
      <c r="AG19" s="1190" t="str">
        <f>IF($CB$16=32,$BZ$19,"")</f>
        <v/>
      </c>
      <c r="AH19" s="1190"/>
      <c r="AI19" s="1190"/>
      <c r="AJ19" s="1190" t="str">
        <f>IF($CB$16=41,$BZ$19,"")</f>
        <v/>
      </c>
      <c r="AK19" s="1190"/>
      <c r="AL19" s="1190"/>
      <c r="AM19" s="1190" t="str">
        <f>IF($CB$16=11,$BZ$42,"")</f>
        <v/>
      </c>
      <c r="AN19" s="1190"/>
      <c r="AO19" s="1190"/>
      <c r="AP19" s="1190" t="str">
        <f>IF($CA$18=1,$BZ$19,"")</f>
        <v/>
      </c>
      <c r="AQ19" s="1190"/>
      <c r="AR19" s="1190"/>
      <c r="AS19" s="1190" t="str">
        <f>IF($CA$18=2,$BZ$19,"")</f>
        <v/>
      </c>
      <c r="AT19" s="1190"/>
      <c r="AU19" s="1190"/>
      <c r="AV19" s="1190" t="str">
        <f>IF($CA$18=3,$BZ$19,"")</f>
        <v/>
      </c>
      <c r="AW19" s="1190"/>
      <c r="AX19" s="1190"/>
      <c r="AY19" s="1144">
        <f>IFERROR(IF($CA$3=4,VLOOKUP($AP$5,PROFILE!$H$4:$AD$15,18,0),0),0)</f>
        <v>0</v>
      </c>
      <c r="AZ19" s="1144"/>
      <c r="BA19" s="1144"/>
      <c r="BB19" s="1144">
        <f>IFERROR(IF($CA$3=4,VLOOKUP($AP$5,PROFILE!$H$4:$AD$15,19,0),0),0)</f>
        <v>0</v>
      </c>
      <c r="BC19" s="1144"/>
      <c r="BD19" s="1144"/>
      <c r="BE19" s="1191">
        <f>IFERROR(IF($CA$3=4,VLOOKUP($AP$5,STUDENT!T9:AO20,19,0),0),0)</f>
        <v>0</v>
      </c>
      <c r="BF19" s="1191"/>
      <c r="BG19" s="1191"/>
      <c r="BH19" s="1191"/>
      <c r="BI19" s="1191"/>
      <c r="BJ19" s="1191"/>
      <c r="BK19" s="1191"/>
      <c r="BL19" s="1144">
        <f>IFERROR(IF($CA$3=4,VLOOKUP($AP$5,PROFILE!$H$4:$AD$15,20,0),0),0)</f>
        <v>0</v>
      </c>
      <c r="BM19" s="1144"/>
      <c r="BN19" s="1144"/>
      <c r="BO19" s="1144">
        <f>IFERROR(IF($CA$3=4,VLOOKUP($AP$5,PROFILE!$H$4:$AD$15,21,0),0),0)</f>
        <v>0</v>
      </c>
      <c r="BP19" s="1144"/>
      <c r="BQ19" s="1144"/>
      <c r="BR19" s="1144">
        <f>IFERROR(IF($CA$3=4,VLOOKUP($AP$5,PROFILE!$H$4:$AD$15,22,0),0),0)</f>
        <v>0</v>
      </c>
      <c r="BS19" s="1144"/>
      <c r="BT19" s="1144"/>
      <c r="BU19" s="1144">
        <f>IFERROR(IF($CA$3=4,VLOOKUP($AP$5,STUDENT!T9:AO20,22,0),0),0)</f>
        <v>0</v>
      </c>
      <c r="BV19" s="1144"/>
      <c r="BW19" s="1144"/>
      <c r="BX19" s="1144">
        <f>IFERROR(IF($CA$3=4,VLOOKUP($AP$5,PROFILE!$H$4:$AD$15,23,0),0),0)</f>
        <v>0</v>
      </c>
      <c r="BY19" s="1195"/>
      <c r="BZ19" s="289" t="s">
        <v>275</v>
      </c>
    </row>
    <row r="20" spans="6:79" ht="21.95" customHeight="1" thickBot="1" x14ac:dyDescent="0.4">
      <c r="F20" s="1136" t="s">
        <v>121</v>
      </c>
      <c r="G20" s="1136"/>
      <c r="H20" s="1136"/>
      <c r="I20" s="1136"/>
      <c r="J20" s="1137"/>
      <c r="K20" s="1137"/>
      <c r="L20" s="1137"/>
      <c r="M20" s="1137"/>
      <c r="N20" s="1137"/>
      <c r="O20" s="1137"/>
      <c r="P20" s="1137"/>
      <c r="Q20" s="1137"/>
      <c r="R20" s="1137"/>
      <c r="S20" s="1137"/>
      <c r="T20" s="1137"/>
      <c r="U20" s="1137"/>
      <c r="V20" s="1137"/>
      <c r="W20" s="1137"/>
      <c r="X20" s="1137"/>
      <c r="Y20" s="1137"/>
      <c r="Z20" s="1137"/>
      <c r="AA20" s="1137"/>
      <c r="AB20" s="1137"/>
      <c r="AC20" s="1137"/>
      <c r="AD20" s="1137"/>
      <c r="AE20" s="1137"/>
      <c r="AF20" s="1137"/>
      <c r="AG20" s="1137"/>
      <c r="AH20" s="1137"/>
      <c r="AI20" s="1137"/>
      <c r="AJ20" s="1137"/>
      <c r="AK20" s="1137"/>
      <c r="AL20" s="1137"/>
      <c r="AM20" s="1137"/>
      <c r="AN20" s="1137"/>
      <c r="AO20" s="1137"/>
      <c r="AP20" s="1137"/>
      <c r="AQ20" s="1137"/>
      <c r="AR20" s="1137"/>
      <c r="AS20" s="1137"/>
      <c r="AT20" s="1137"/>
      <c r="AU20" s="1137"/>
      <c r="AV20" s="1137"/>
      <c r="AW20" s="1137"/>
      <c r="AX20" s="1137"/>
      <c r="AY20" s="1137"/>
      <c r="AZ20" s="1137"/>
      <c r="BA20" s="1137"/>
      <c r="BB20" s="1137"/>
      <c r="BC20" s="1137"/>
      <c r="BD20" s="1137"/>
      <c r="BE20" s="1137"/>
      <c r="BF20" s="1137"/>
      <c r="BG20" s="1137"/>
      <c r="BH20" s="1137"/>
      <c r="BI20" s="1137"/>
      <c r="BJ20" s="1137"/>
      <c r="BK20" s="1137"/>
      <c r="BL20" s="1137"/>
      <c r="BM20" s="1137"/>
      <c r="BN20" s="1137"/>
      <c r="BO20" s="1137"/>
      <c r="BP20" s="1137"/>
      <c r="BQ20" s="1137"/>
      <c r="BR20" s="1137"/>
      <c r="BS20" s="1137"/>
      <c r="BT20" s="1137"/>
      <c r="BU20" s="1137"/>
      <c r="BV20" s="1137"/>
      <c r="BW20" s="1137"/>
      <c r="BX20" s="1137"/>
      <c r="BY20" s="1137"/>
    </row>
    <row r="21" spans="6:79" ht="24.95" customHeight="1" x14ac:dyDescent="0.25">
      <c r="F21" s="1149"/>
      <c r="G21" s="1173"/>
      <c r="H21" s="1173"/>
      <c r="I21" s="1173"/>
      <c r="J21" s="1172" t="s">
        <v>87</v>
      </c>
      <c r="K21" s="1172"/>
      <c r="L21" s="1172"/>
      <c r="M21" s="1172"/>
      <c r="N21" s="1172"/>
      <c r="O21" s="1172"/>
      <c r="P21" s="1172"/>
      <c r="Q21" s="1172"/>
      <c r="R21" s="1172"/>
      <c r="S21" s="1172"/>
      <c r="T21" s="1172"/>
      <c r="U21" s="1172"/>
      <c r="V21" s="1172"/>
      <c r="W21" s="1172"/>
      <c r="X21" s="1172"/>
      <c r="Y21" s="1172"/>
      <c r="Z21" s="1172" t="s">
        <v>90</v>
      </c>
      <c r="AA21" s="1172"/>
      <c r="AB21" s="1172"/>
      <c r="AC21" s="1172"/>
      <c r="AD21" s="1172"/>
      <c r="AE21" s="1172"/>
      <c r="AF21" s="1172"/>
      <c r="AG21" s="1172"/>
      <c r="AH21" s="1172"/>
      <c r="AI21" s="1172"/>
      <c r="AJ21" s="1172"/>
      <c r="AK21" s="1172"/>
      <c r="AL21" s="1172"/>
      <c r="AM21" s="1172"/>
      <c r="AN21" s="1172"/>
      <c r="AO21" s="1172"/>
      <c r="AP21" s="1172"/>
      <c r="AQ21" s="1172"/>
      <c r="AR21" s="1172" t="s">
        <v>161</v>
      </c>
      <c r="AS21" s="1172"/>
      <c r="AT21" s="1172"/>
      <c r="AU21" s="1172"/>
      <c r="AV21" s="1172"/>
      <c r="AW21" s="1172"/>
      <c r="AX21" s="1172"/>
      <c r="AY21" s="1172"/>
      <c r="AZ21" s="1172"/>
      <c r="BA21" s="1172"/>
      <c r="BB21" s="1172"/>
      <c r="BC21" s="1172"/>
      <c r="BD21" s="1172"/>
      <c r="BE21" s="1172"/>
      <c r="BF21" s="1172"/>
      <c r="BG21" s="1172"/>
      <c r="BH21" s="1172"/>
      <c r="BI21" s="1172"/>
      <c r="BJ21" s="1172" t="s">
        <v>93</v>
      </c>
      <c r="BK21" s="1172"/>
      <c r="BL21" s="1172"/>
      <c r="BM21" s="1172"/>
      <c r="BN21" s="1172"/>
      <c r="BO21" s="1172"/>
      <c r="BP21" s="1172"/>
      <c r="BQ21" s="1172"/>
      <c r="BR21" s="1172"/>
      <c r="BS21" s="1172"/>
      <c r="BT21" s="1172"/>
      <c r="BU21" s="1172"/>
      <c r="BV21" s="1172"/>
      <c r="BW21" s="1172"/>
      <c r="BX21" s="1172"/>
      <c r="BY21" s="1187"/>
    </row>
    <row r="22" spans="6:79" ht="20.100000000000001" customHeight="1" x14ac:dyDescent="0.25">
      <c r="F22" s="1150"/>
      <c r="G22" s="1174"/>
      <c r="H22" s="1174"/>
      <c r="I22" s="1174"/>
      <c r="J22" s="1139" t="s">
        <v>102</v>
      </c>
      <c r="K22" s="1139"/>
      <c r="L22" s="1139"/>
      <c r="M22" s="1139"/>
      <c r="N22" s="1139"/>
      <c r="O22" s="1139"/>
      <c r="P22" s="1139" t="s">
        <v>103</v>
      </c>
      <c r="Q22" s="1139"/>
      <c r="R22" s="1139"/>
      <c r="S22" s="1139"/>
      <c r="T22" s="1139"/>
      <c r="U22" s="1139"/>
      <c r="V22" s="1139"/>
      <c r="W22" s="1139"/>
      <c r="X22" s="1182" t="s">
        <v>120</v>
      </c>
      <c r="Y22" s="1182"/>
      <c r="Z22" s="1139" t="s">
        <v>102</v>
      </c>
      <c r="AA22" s="1139"/>
      <c r="AB22" s="1139"/>
      <c r="AC22" s="1139"/>
      <c r="AD22" s="1139"/>
      <c r="AE22" s="1139"/>
      <c r="AF22" s="1139"/>
      <c r="AG22" s="1139"/>
      <c r="AH22" s="1139" t="s">
        <v>103</v>
      </c>
      <c r="AI22" s="1139"/>
      <c r="AJ22" s="1139"/>
      <c r="AK22" s="1139"/>
      <c r="AL22" s="1139"/>
      <c r="AM22" s="1139"/>
      <c r="AN22" s="1139"/>
      <c r="AO22" s="1139"/>
      <c r="AP22" s="1182" t="s">
        <v>120</v>
      </c>
      <c r="AQ22" s="1182"/>
      <c r="AR22" s="1139" t="s">
        <v>102</v>
      </c>
      <c r="AS22" s="1139"/>
      <c r="AT22" s="1139"/>
      <c r="AU22" s="1139"/>
      <c r="AV22" s="1139"/>
      <c r="AW22" s="1139"/>
      <c r="AX22" s="1139"/>
      <c r="AY22" s="1139"/>
      <c r="AZ22" s="1139" t="s">
        <v>103</v>
      </c>
      <c r="BA22" s="1139"/>
      <c r="BB22" s="1139"/>
      <c r="BC22" s="1139"/>
      <c r="BD22" s="1139"/>
      <c r="BE22" s="1139"/>
      <c r="BF22" s="1139"/>
      <c r="BG22" s="1139"/>
      <c r="BH22" s="1182" t="s">
        <v>120</v>
      </c>
      <c r="BI22" s="1182"/>
      <c r="BJ22" s="1139" t="s">
        <v>102</v>
      </c>
      <c r="BK22" s="1139"/>
      <c r="BL22" s="1139"/>
      <c r="BM22" s="1139"/>
      <c r="BN22" s="1139"/>
      <c r="BO22" s="1139"/>
      <c r="BP22" s="1139"/>
      <c r="BQ22" s="1139"/>
      <c r="BR22" s="1139" t="s">
        <v>103</v>
      </c>
      <c r="BS22" s="1139"/>
      <c r="BT22" s="1139"/>
      <c r="BU22" s="1139"/>
      <c r="BV22" s="1139"/>
      <c r="BW22" s="1139"/>
      <c r="BX22" s="1139"/>
      <c r="BY22" s="1188" t="s">
        <v>120</v>
      </c>
    </row>
    <row r="23" spans="6:79" ht="15" customHeight="1" x14ac:dyDescent="0.25">
      <c r="F23" s="1150"/>
      <c r="G23" s="1174"/>
      <c r="H23" s="1174"/>
      <c r="I23" s="1174"/>
      <c r="J23" s="432" t="s">
        <v>117</v>
      </c>
      <c r="K23" s="432" t="s">
        <v>118</v>
      </c>
      <c r="L23" s="1133" t="s">
        <v>119</v>
      </c>
      <c r="M23" s="1133"/>
      <c r="N23" s="1135" t="s">
        <v>1</v>
      </c>
      <c r="O23" s="1135"/>
      <c r="P23" s="1133" t="s">
        <v>117</v>
      </c>
      <c r="Q23" s="1133"/>
      <c r="R23" s="1133" t="s">
        <v>118</v>
      </c>
      <c r="S23" s="1133"/>
      <c r="T23" s="1133" t="s">
        <v>119</v>
      </c>
      <c r="U23" s="1133"/>
      <c r="V23" s="1135" t="s">
        <v>1</v>
      </c>
      <c r="W23" s="1135"/>
      <c r="X23" s="1182"/>
      <c r="Y23" s="1182"/>
      <c r="Z23" s="1133" t="s">
        <v>117</v>
      </c>
      <c r="AA23" s="1133"/>
      <c r="AB23" s="1133" t="s">
        <v>118</v>
      </c>
      <c r="AC23" s="1133"/>
      <c r="AD23" s="1133" t="s">
        <v>119</v>
      </c>
      <c r="AE23" s="1133"/>
      <c r="AF23" s="1135" t="s">
        <v>1</v>
      </c>
      <c r="AG23" s="1135"/>
      <c r="AH23" s="1133" t="s">
        <v>117</v>
      </c>
      <c r="AI23" s="1133"/>
      <c r="AJ23" s="1133" t="s">
        <v>118</v>
      </c>
      <c r="AK23" s="1133"/>
      <c r="AL23" s="1133" t="s">
        <v>119</v>
      </c>
      <c r="AM23" s="1133"/>
      <c r="AN23" s="1135" t="s">
        <v>1</v>
      </c>
      <c r="AO23" s="1135"/>
      <c r="AP23" s="1182"/>
      <c r="AQ23" s="1182"/>
      <c r="AR23" s="1133" t="s">
        <v>117</v>
      </c>
      <c r="AS23" s="1133"/>
      <c r="AT23" s="1133" t="s">
        <v>118</v>
      </c>
      <c r="AU23" s="1133"/>
      <c r="AV23" s="1133" t="s">
        <v>119</v>
      </c>
      <c r="AW23" s="1133"/>
      <c r="AX23" s="1135" t="s">
        <v>1</v>
      </c>
      <c r="AY23" s="1135"/>
      <c r="AZ23" s="1133" t="s">
        <v>117</v>
      </c>
      <c r="BA23" s="1133"/>
      <c r="BB23" s="1133" t="s">
        <v>118</v>
      </c>
      <c r="BC23" s="1133"/>
      <c r="BD23" s="1133" t="s">
        <v>119</v>
      </c>
      <c r="BE23" s="1133"/>
      <c r="BF23" s="1135" t="s">
        <v>1</v>
      </c>
      <c r="BG23" s="1135"/>
      <c r="BH23" s="1182"/>
      <c r="BI23" s="1182"/>
      <c r="BJ23" s="1133" t="s">
        <v>117</v>
      </c>
      <c r="BK23" s="1133"/>
      <c r="BL23" s="1133" t="s">
        <v>118</v>
      </c>
      <c r="BM23" s="1133"/>
      <c r="BN23" s="1133" t="s">
        <v>119</v>
      </c>
      <c r="BO23" s="1133"/>
      <c r="BP23" s="1135" t="s">
        <v>1</v>
      </c>
      <c r="BQ23" s="1135"/>
      <c r="BR23" s="1133" t="s">
        <v>117</v>
      </c>
      <c r="BS23" s="1133"/>
      <c r="BT23" s="1133" t="s">
        <v>118</v>
      </c>
      <c r="BU23" s="1133"/>
      <c r="BV23" s="1133" t="s">
        <v>119</v>
      </c>
      <c r="BW23" s="1133"/>
      <c r="BX23" s="433" t="s">
        <v>1</v>
      </c>
      <c r="BY23" s="1188"/>
    </row>
    <row r="24" spans="6:79" ht="60" customHeight="1" thickBot="1" x14ac:dyDescent="0.3">
      <c r="F24" s="1151"/>
      <c r="G24" s="1211"/>
      <c r="H24" s="1211"/>
      <c r="I24" s="1211"/>
      <c r="J24" s="506">
        <f>IFERROR(IF($CA$3=4,VLOOKUP($AP$5,DATA!$U$8:$BL$19,J28,0),0),0)</f>
        <v>0</v>
      </c>
      <c r="K24" s="506">
        <f>IFERROR(IF($CA$3=4,VLOOKUP($AP$5,DATA!$U$8:$BL$19,K28,0),0),0)</f>
        <v>0</v>
      </c>
      <c r="L24" s="1192">
        <f>IFERROR(IF($CA$3=4,VLOOKUP($AP$5,DATA!$U$8:$BL$19,L28,0),0),0)</f>
        <v>0</v>
      </c>
      <c r="M24" s="1192"/>
      <c r="N24" s="1193">
        <f>J24+K24+L24</f>
        <v>0</v>
      </c>
      <c r="O24" s="1193"/>
      <c r="P24" s="1192">
        <f>IFERROR(IF($CA$3=4,VLOOKUP($AP$5,DATA!$U$8:$BL$19,P28,0),0),0)</f>
        <v>0</v>
      </c>
      <c r="Q24" s="1192"/>
      <c r="R24" s="1192">
        <f>IFERROR(IF($CA$3=4,VLOOKUP($AP$5,DATA!$U$8:$BL$19,R28,0),0),0)</f>
        <v>0</v>
      </c>
      <c r="S24" s="1192"/>
      <c r="T24" s="1192">
        <f>IFERROR(IF($CA$3=4,VLOOKUP($AP$5,DATA!$U$8:$BL$19,T28,0),0),0)</f>
        <v>0</v>
      </c>
      <c r="U24" s="1192"/>
      <c r="V24" s="1193">
        <f>R24+S24+T24</f>
        <v>0</v>
      </c>
      <c r="W24" s="1193"/>
      <c r="X24" s="1193">
        <f>N24+V24</f>
        <v>0</v>
      </c>
      <c r="Y24" s="1193"/>
      <c r="Z24" s="1192">
        <f>IFERROR(IF($CA$3=4,VLOOKUP($AP$5,DATA!$U$8:$BL$19,Z28,0),0),0)</f>
        <v>0</v>
      </c>
      <c r="AA24" s="1192"/>
      <c r="AB24" s="1192">
        <f>IFERROR(IF($CA$3=4,VLOOKUP($AP$5,DATA!$U$8:$BL$19,AB28,0),0),0)</f>
        <v>0</v>
      </c>
      <c r="AC24" s="1192"/>
      <c r="AD24" s="1192">
        <f>IFERROR(IF($CA$3=4,VLOOKUP($AP$5,DATA!$U$8:$BL$19,AD28,0),0),0)</f>
        <v>0</v>
      </c>
      <c r="AE24" s="1192"/>
      <c r="AF24" s="1193">
        <f>AB24+AC24+AD24</f>
        <v>0</v>
      </c>
      <c r="AG24" s="1193"/>
      <c r="AH24" s="1192">
        <f>IFERROR(IF($CA$3=4,VLOOKUP($AP$5,DATA!$U$8:$BL$19,AH28,0),0),0)</f>
        <v>0</v>
      </c>
      <c r="AI24" s="1192"/>
      <c r="AJ24" s="1192">
        <f>IFERROR(IF($CA$3=4,VLOOKUP($AP$5,DATA!$U$8:$BL$19,AJ28,0),0),0)</f>
        <v>0</v>
      </c>
      <c r="AK24" s="1192"/>
      <c r="AL24" s="1192">
        <f>IFERROR(IF($CA$3=4,VLOOKUP($AP$5,DATA!$U$8:$BL$19,AL28,0),0),0)</f>
        <v>0</v>
      </c>
      <c r="AM24" s="1192"/>
      <c r="AN24" s="1193">
        <f>AJ24+AK24+AL24</f>
        <v>0</v>
      </c>
      <c r="AO24" s="1193"/>
      <c r="AP24" s="1193">
        <f>AF24+AN24</f>
        <v>0</v>
      </c>
      <c r="AQ24" s="1193"/>
      <c r="AR24" s="1192">
        <f>IFERROR(IF($CA$3=4,VLOOKUP($AP$5,DATA!$U$8:$BL$19,AR28,0),0),0)</f>
        <v>0</v>
      </c>
      <c r="AS24" s="1192"/>
      <c r="AT24" s="1192">
        <f>IFERROR(IF($CA$3=4,VLOOKUP($AP$5,DATA!$U$8:$BL$19,AT28,0),0),0)</f>
        <v>0</v>
      </c>
      <c r="AU24" s="1192"/>
      <c r="AV24" s="1192">
        <f>IFERROR(IF($CA$3=4,VLOOKUP($AP$5,DATA!$U$8:$BL$19,AV28,0),0),0)</f>
        <v>0</v>
      </c>
      <c r="AW24" s="1192"/>
      <c r="AX24" s="1193">
        <f>AT24+AU24+AV24</f>
        <v>0</v>
      </c>
      <c r="AY24" s="1193"/>
      <c r="AZ24" s="1192">
        <f>IFERROR(IF($CA$3=4,VLOOKUP($AP$5,DATA!$U$8:$BL$19,AZ28,0),0),0)</f>
        <v>0</v>
      </c>
      <c r="BA24" s="1192"/>
      <c r="BB24" s="1192">
        <f>IFERROR(IF($CA$3=4,VLOOKUP($AP$5,DATA!$U$8:$BL$19,BB28,0),0),0)</f>
        <v>0</v>
      </c>
      <c r="BC24" s="1192"/>
      <c r="BD24" s="1192">
        <f>IFERROR(IF($CA$3=4,VLOOKUP($AP$5,DATA!$U$8:$BL$19,BD28,0),0),0)</f>
        <v>0</v>
      </c>
      <c r="BE24" s="1192"/>
      <c r="BF24" s="1193">
        <f>BB24+BC24+BD24</f>
        <v>0</v>
      </c>
      <c r="BG24" s="1193"/>
      <c r="BH24" s="1193">
        <f>AX24+BF24</f>
        <v>0</v>
      </c>
      <c r="BI24" s="1193"/>
      <c r="BJ24" s="1192">
        <f>IFERROR(IF($CA$3=4,VLOOKUP($AP$5,DATA!$U$8:$BL$19,BJ28,0),0),0)</f>
        <v>0</v>
      </c>
      <c r="BK24" s="1192"/>
      <c r="BL24" s="1192">
        <f>IFERROR(IF($CA$3=4,VLOOKUP($AP$5,DATA!$U$8:$BL$19,BL28,0),0),0)</f>
        <v>0</v>
      </c>
      <c r="BM24" s="1192"/>
      <c r="BN24" s="1192">
        <f>IFERROR(IF($CA$3=4,VLOOKUP($AP$5,DATA!$U$8:$BL$19,BN28,0),0),0)</f>
        <v>0</v>
      </c>
      <c r="BO24" s="1192"/>
      <c r="BP24" s="1193">
        <f>BL24+BM24+BN24</f>
        <v>0</v>
      </c>
      <c r="BQ24" s="1193"/>
      <c r="BR24" s="1192">
        <f>IFERROR(IF($CA$3=4,VLOOKUP($AP$5,DATA!$U$8:$BL$19,BR28,0),0),0)</f>
        <v>0</v>
      </c>
      <c r="BS24" s="1192"/>
      <c r="BT24" s="1192">
        <f>IFERROR(IF($CA$3=4,VLOOKUP($AP$5,DATA!$U$8:$BL$19,BT28,0),0),0)</f>
        <v>0</v>
      </c>
      <c r="BU24" s="1192"/>
      <c r="BV24" s="1192">
        <f>IFERROR(IF($CA$3=4,VLOOKUP($AP$5,DATA!$U$8:$BL$19,BV28,0),0),0)</f>
        <v>0</v>
      </c>
      <c r="BW24" s="1192"/>
      <c r="BX24" s="507">
        <f>BR24+BT24+BV24</f>
        <v>0</v>
      </c>
      <c r="BY24" s="508">
        <f>BP24+BX24</f>
        <v>0</v>
      </c>
      <c r="BZ24" s="3">
        <f>IFERROR(IF($CA$3=4,VLOOKUP($AP$5,PROFILE!$H$4:$AD$15,15,0),0),0)</f>
        <v>0</v>
      </c>
    </row>
    <row r="25" spans="6:79" ht="16.5" customHeight="1" x14ac:dyDescent="0.25">
      <c r="F25" s="1194" t="s">
        <v>99</v>
      </c>
      <c r="G25" s="1194"/>
      <c r="H25" s="1194"/>
      <c r="I25" s="1194"/>
      <c r="J25" s="1194"/>
      <c r="K25" s="1194"/>
      <c r="L25" s="1194"/>
      <c r="M25" s="1194"/>
      <c r="N25" s="1194"/>
      <c r="O25" s="1194"/>
      <c r="P25" s="1194"/>
      <c r="Q25" s="1194"/>
      <c r="R25" s="1194"/>
      <c r="S25" s="1194"/>
      <c r="T25" s="1194"/>
      <c r="U25" s="1194"/>
      <c r="V25" s="1194"/>
      <c r="W25" s="1194"/>
      <c r="X25" s="1194"/>
      <c r="Y25" s="1194"/>
      <c r="Z25" s="1194"/>
      <c r="AA25" s="1194"/>
      <c r="AB25" s="1194"/>
      <c r="AC25" s="1194"/>
      <c r="AD25" s="1194"/>
      <c r="AE25" s="1194"/>
      <c r="AF25" s="1194"/>
      <c r="AG25" s="1194"/>
      <c r="AH25" s="1194"/>
      <c r="AI25" s="1194"/>
      <c r="AJ25" s="1194"/>
      <c r="AK25" s="1194"/>
      <c r="AL25" s="1194"/>
      <c r="AM25" s="1194"/>
      <c r="AN25" s="1194"/>
      <c r="AO25" s="1194"/>
      <c r="AP25" s="1194"/>
      <c r="AQ25" s="1194"/>
      <c r="AR25" s="1194"/>
      <c r="AS25" s="1194"/>
      <c r="AT25" s="1194"/>
      <c r="AU25" s="1194"/>
      <c r="AV25" s="1194"/>
      <c r="AW25" s="1194"/>
      <c r="AX25" s="1194"/>
      <c r="AY25" s="1194"/>
      <c r="AZ25" s="1194"/>
      <c r="BA25" s="1194"/>
      <c r="BB25" s="1194"/>
      <c r="BC25" s="1194"/>
      <c r="BD25" s="1194"/>
      <c r="BE25" s="1194"/>
      <c r="BF25" s="1194"/>
      <c r="BG25" s="1194"/>
      <c r="BH25" s="1194"/>
      <c r="BI25" s="1194"/>
      <c r="BJ25" s="1194"/>
      <c r="BK25" s="1194"/>
      <c r="BL25" s="1194"/>
      <c r="BM25" s="1194"/>
      <c r="BN25" s="1194"/>
      <c r="BO25" s="1194"/>
      <c r="BP25" s="1194"/>
      <c r="BQ25" s="1194"/>
      <c r="BR25" s="1194"/>
      <c r="BS25" s="1194"/>
      <c r="BT25" s="1194"/>
      <c r="BU25" s="1194"/>
      <c r="BV25" s="1194"/>
      <c r="BW25" s="1194"/>
      <c r="BX25" s="1194"/>
      <c r="BY25" s="1194"/>
    </row>
    <row r="26" spans="6:79" ht="13.5" customHeight="1" x14ac:dyDescent="0.25">
      <c r="F26" s="16"/>
      <c r="G26" s="1152"/>
      <c r="H26" s="1152"/>
      <c r="I26" s="1152"/>
      <c r="J26" s="1152"/>
      <c r="K26" s="1152"/>
      <c r="L26" s="1152"/>
      <c r="M26" s="1152"/>
      <c r="N26" s="1152"/>
      <c r="O26" s="1152"/>
      <c r="P26" s="1152"/>
      <c r="Q26" s="1152"/>
      <c r="R26" s="1152"/>
      <c r="S26" s="1152"/>
      <c r="T26" s="1152"/>
      <c r="U26" s="1152"/>
      <c r="V26" s="1152"/>
      <c r="W26" s="1152"/>
      <c r="X26" s="1152"/>
      <c r="Y26" s="1152"/>
      <c r="Z26" s="1152"/>
      <c r="AA26" s="1152"/>
      <c r="AB26" s="1152"/>
      <c r="AC26" s="1152"/>
      <c r="AD26" s="1152"/>
      <c r="AE26" s="1152"/>
      <c r="AF26" s="1152"/>
      <c r="AG26" s="1152"/>
      <c r="AH26" s="1152"/>
      <c r="AI26" s="1152"/>
      <c r="AJ26" s="1152"/>
      <c r="AK26" s="1152"/>
      <c r="AL26" s="1152"/>
      <c r="AM26" s="1152"/>
      <c r="AN26" s="1152"/>
      <c r="AO26" s="1152"/>
      <c r="AP26" s="1152"/>
      <c r="AQ26" s="1152"/>
      <c r="AR26" s="1152"/>
      <c r="AS26" s="1152"/>
      <c r="AT26" s="1152"/>
      <c r="AU26" s="1152"/>
      <c r="AV26" s="1152"/>
      <c r="AW26" s="1152"/>
      <c r="AX26" s="1152"/>
      <c r="AY26" s="1152"/>
      <c r="AZ26" s="1152"/>
      <c r="BA26" s="1152"/>
      <c r="BB26" s="1152"/>
      <c r="BC26" s="1152"/>
      <c r="BD26" s="1152"/>
      <c r="BE26" s="1152"/>
      <c r="BF26" s="1152"/>
      <c r="BG26" s="1152"/>
      <c r="BH26" s="1152"/>
      <c r="BI26" s="1152"/>
      <c r="BJ26" s="1152"/>
      <c r="BK26" s="1152"/>
      <c r="BL26" s="1152"/>
      <c r="BM26" s="1152"/>
      <c r="BN26" s="1152"/>
      <c r="BO26" s="1152"/>
      <c r="BP26" s="1152"/>
      <c r="BQ26" s="1152"/>
      <c r="BR26" s="1152"/>
      <c r="BS26" s="1152"/>
      <c r="BT26" s="1152"/>
      <c r="BU26" s="1152"/>
      <c r="BV26" s="1152"/>
      <c r="BW26" s="1152"/>
      <c r="BX26" s="16"/>
      <c r="BY26" s="16"/>
    </row>
    <row r="27" spans="6:79" ht="17.25" customHeight="1" x14ac:dyDescent="0.25">
      <c r="F27" s="16"/>
      <c r="G27" s="1152"/>
      <c r="H27" s="1152"/>
      <c r="I27" s="1152"/>
      <c r="J27" s="1152"/>
      <c r="K27" s="1152"/>
      <c r="L27" s="1152"/>
      <c r="M27" s="1152"/>
      <c r="N27" s="1152"/>
      <c r="O27" s="1152"/>
      <c r="P27" s="1152"/>
      <c r="Q27" s="1152"/>
      <c r="R27" s="1152"/>
      <c r="S27" s="1152"/>
      <c r="T27" s="1152"/>
      <c r="U27" s="1152"/>
      <c r="V27" s="1152"/>
      <c r="W27" s="1152"/>
      <c r="X27" s="1152"/>
      <c r="Y27" s="1152"/>
      <c r="Z27" s="1152"/>
      <c r="AA27" s="1152"/>
      <c r="AB27" s="1152"/>
      <c r="AC27" s="1152"/>
      <c r="AD27" s="1152"/>
      <c r="AE27" s="1152"/>
      <c r="AF27" s="1152"/>
      <c r="AG27" s="1152"/>
      <c r="AH27" s="1152"/>
      <c r="AI27" s="1152"/>
      <c r="AJ27" s="1152"/>
      <c r="AK27" s="1152"/>
      <c r="AL27" s="1152"/>
      <c r="AM27" s="1152"/>
      <c r="AN27" s="1152"/>
      <c r="AO27" s="1152"/>
      <c r="AP27" s="1152"/>
      <c r="AQ27" s="1152"/>
      <c r="AR27" s="1152"/>
      <c r="AS27" s="1152"/>
      <c r="AT27" s="1152"/>
      <c r="AU27" s="1152"/>
      <c r="AV27" s="1152"/>
      <c r="AW27" s="1152"/>
      <c r="AX27" s="1152"/>
      <c r="AY27" s="1152"/>
      <c r="AZ27" s="1152"/>
      <c r="BA27" s="1152"/>
      <c r="BB27" s="1152"/>
      <c r="BC27" s="1152"/>
      <c r="BD27" s="1152"/>
      <c r="BE27" s="1152"/>
      <c r="BF27" s="1152"/>
      <c r="BG27" s="1152"/>
      <c r="BH27" s="1152"/>
      <c r="BI27" s="1152"/>
      <c r="BJ27" s="1152"/>
      <c r="BK27" s="1152"/>
      <c r="BL27" s="1189" t="s">
        <v>276</v>
      </c>
      <c r="BM27" s="1189"/>
      <c r="BN27" s="1189"/>
      <c r="BO27" s="1189"/>
      <c r="BP27" s="1189"/>
      <c r="BQ27" s="1189"/>
      <c r="BR27" s="1189"/>
      <c r="BS27" s="1189"/>
      <c r="BT27" s="1189"/>
      <c r="BU27" s="1189"/>
      <c r="BV27" s="1189"/>
      <c r="BW27" s="1189"/>
      <c r="BX27" s="1189"/>
      <c r="BY27" s="1189"/>
    </row>
    <row r="28" spans="6:79" ht="25.5" hidden="1" customHeight="1" thickBot="1" x14ac:dyDescent="0.3">
      <c r="J28" s="290">
        <v>21</v>
      </c>
      <c r="K28" s="290">
        <v>22</v>
      </c>
      <c r="L28" s="1203">
        <v>23</v>
      </c>
      <c r="M28" s="1203"/>
      <c r="N28" s="1203"/>
      <c r="O28" s="1203"/>
      <c r="P28" s="1203">
        <v>24</v>
      </c>
      <c r="Q28" s="1203"/>
      <c r="R28" s="1203">
        <v>25</v>
      </c>
      <c r="S28" s="1203"/>
      <c r="T28" s="1203">
        <v>26</v>
      </c>
      <c r="U28" s="1203"/>
      <c r="V28" s="1203"/>
      <c r="W28" s="1203"/>
      <c r="X28" s="1203"/>
      <c r="Y28" s="1203"/>
      <c r="Z28" s="1203">
        <v>27</v>
      </c>
      <c r="AA28" s="1203"/>
      <c r="AB28" s="1203">
        <v>28</v>
      </c>
      <c r="AC28" s="1203"/>
      <c r="AD28" s="1203">
        <v>29</v>
      </c>
      <c r="AE28" s="1203"/>
      <c r="AF28" s="1203"/>
      <c r="AG28" s="1203"/>
      <c r="AH28" s="1203">
        <v>30</v>
      </c>
      <c r="AI28" s="1203"/>
      <c r="AJ28" s="1203">
        <v>31</v>
      </c>
      <c r="AK28" s="1203"/>
      <c r="AL28" s="1203">
        <v>32</v>
      </c>
      <c r="AM28" s="1203"/>
      <c r="AN28" s="1203"/>
      <c r="AO28" s="1203"/>
      <c r="AP28" s="1203"/>
      <c r="AQ28" s="1203"/>
      <c r="AR28" s="1203">
        <v>33</v>
      </c>
      <c r="AS28" s="1203"/>
      <c r="AT28" s="1203">
        <v>34</v>
      </c>
      <c r="AU28" s="1203"/>
      <c r="AV28" s="1203">
        <v>35</v>
      </c>
      <c r="AW28" s="1203"/>
      <c r="AX28" s="1203"/>
      <c r="AY28" s="1203"/>
      <c r="AZ28" s="1203">
        <v>36</v>
      </c>
      <c r="BA28" s="1203"/>
      <c r="BB28" s="1203">
        <v>37</v>
      </c>
      <c r="BC28" s="1203"/>
      <c r="BD28" s="1203">
        <v>38</v>
      </c>
      <c r="BE28" s="1203"/>
      <c r="BF28" s="1203"/>
      <c r="BG28" s="1203"/>
      <c r="BH28" s="1203"/>
      <c r="BI28" s="1203"/>
      <c r="BJ28" s="1203">
        <v>39</v>
      </c>
      <c r="BK28" s="1203"/>
      <c r="BL28" s="1203">
        <v>40</v>
      </c>
      <c r="BM28" s="1203"/>
      <c r="BN28" s="1203">
        <v>41</v>
      </c>
      <c r="BO28" s="1203"/>
      <c r="BP28" s="1203"/>
      <c r="BQ28" s="1203"/>
      <c r="BR28" s="1203">
        <v>42</v>
      </c>
      <c r="BS28" s="1203"/>
      <c r="BT28" s="1203">
        <v>43</v>
      </c>
      <c r="BU28" s="1203"/>
      <c r="BV28" s="1203">
        <v>44</v>
      </c>
      <c r="BW28" s="1203"/>
      <c r="BX28" s="290"/>
      <c r="BY28" s="291"/>
    </row>
    <row r="29" spans="6:79" ht="21.75" customHeight="1" x14ac:dyDescent="0.25"/>
    <row r="30" spans="6:79" ht="22.5" customHeight="1" x14ac:dyDescent="0.25"/>
    <row r="31" spans="6:79" ht="35.25" customHeight="1" x14ac:dyDescent="0.25"/>
    <row r="32" spans="6:79" ht="14.25" customHeight="1" x14ac:dyDescent="0.25"/>
    <row r="33" ht="45" customHeight="1" x14ac:dyDescent="0.25"/>
    <row r="34" ht="45" customHeight="1" x14ac:dyDescent="0.25"/>
    <row r="35" ht="45" customHeight="1" x14ac:dyDescent="0.25"/>
    <row r="36" ht="45" customHeight="1" x14ac:dyDescent="0.25"/>
    <row r="37" ht="45" customHeight="1" x14ac:dyDescent="0.25"/>
    <row r="38" ht="45" customHeight="1" x14ac:dyDescent="0.25"/>
    <row r="39" ht="45" customHeight="1" x14ac:dyDescent="0.25"/>
    <row r="40" ht="45" customHeight="1" x14ac:dyDescent="0.25"/>
    <row r="41" ht="45" customHeight="1" x14ac:dyDescent="0.25"/>
    <row r="42" ht="45" customHeight="1" x14ac:dyDescent="0.25"/>
    <row r="43" ht="45" customHeight="1" x14ac:dyDescent="0.25"/>
    <row r="44" ht="24.95" customHeight="1" x14ac:dyDescent="0.25"/>
    <row r="45" ht="24.95" customHeight="1" x14ac:dyDescent="0.25"/>
    <row r="46" ht="24.95" customHeight="1" x14ac:dyDescent="0.25"/>
    <row r="47" ht="19.5" customHeight="1" x14ac:dyDescent="0.25"/>
    <row r="48" ht="39" customHeight="1" x14ac:dyDescent="0.25"/>
    <row r="49" ht="37.5" customHeight="1" x14ac:dyDescent="0.25"/>
    <row r="50" ht="30" customHeight="1" x14ac:dyDescent="0.25"/>
    <row r="51" ht="30" customHeight="1" x14ac:dyDescent="0.25"/>
    <row r="52" ht="30" customHeight="1" x14ac:dyDescent="0.25"/>
    <row r="53" ht="12" customHeight="1" x14ac:dyDescent="0.25"/>
    <row r="54" ht="41.1" customHeight="1" x14ac:dyDescent="0.25"/>
    <row r="55" ht="41.1" customHeight="1" x14ac:dyDescent="0.25"/>
    <row r="56" ht="41.1" customHeight="1" x14ac:dyDescent="0.25"/>
    <row r="57" ht="41.1" customHeight="1" x14ac:dyDescent="0.25"/>
    <row r="58" ht="41.1" customHeight="1" x14ac:dyDescent="0.25"/>
    <row r="59" ht="41.1" customHeight="1" x14ac:dyDescent="0.25"/>
    <row r="60" ht="41.1" customHeight="1" x14ac:dyDescent="0.25"/>
    <row r="61" ht="41.1" customHeight="1" x14ac:dyDescent="0.25"/>
    <row r="62" ht="41.1" customHeight="1" x14ac:dyDescent="0.25"/>
    <row r="63" ht="41.1" customHeight="1" x14ac:dyDescent="0.25"/>
    <row r="64" ht="41.1" customHeight="1" x14ac:dyDescent="0.25"/>
    <row r="65" ht="16.5" customHeight="1" x14ac:dyDescent="0.25"/>
    <row r="66" ht="24.95" customHeight="1" x14ac:dyDescent="0.25"/>
    <row r="67" ht="24.95" customHeight="1" x14ac:dyDescent="0.25"/>
    <row r="70" ht="22.5" customHeight="1" x14ac:dyDescent="0.25"/>
    <row r="71" ht="21.95" customHeight="1" x14ac:dyDescent="0.25"/>
    <row r="72" ht="21.95" customHeight="1" x14ac:dyDescent="0.25"/>
    <row r="73" ht="21.95" customHeight="1" x14ac:dyDescent="0.25"/>
    <row r="74" ht="12" customHeight="1" x14ac:dyDescent="0.25"/>
    <row r="75" ht="47.1" customHeight="1" x14ac:dyDescent="0.25"/>
    <row r="76" ht="47.1" customHeight="1" x14ac:dyDescent="0.25"/>
    <row r="77" ht="47.1" customHeight="1" x14ac:dyDescent="0.25"/>
    <row r="78" ht="47.1" customHeight="1" x14ac:dyDescent="0.25"/>
    <row r="79" ht="47.1" customHeight="1" x14ac:dyDescent="0.25"/>
    <row r="80" ht="47.1" customHeight="1" x14ac:dyDescent="0.25"/>
    <row r="81" ht="47.1" customHeight="1" x14ac:dyDescent="0.25"/>
    <row r="82" ht="47.1" customHeight="1" x14ac:dyDescent="0.25"/>
    <row r="83" ht="47.1" customHeight="1" x14ac:dyDescent="0.25"/>
    <row r="84" ht="47.1" customHeight="1" x14ac:dyDescent="0.25"/>
    <row r="85" ht="47.1" customHeight="1" x14ac:dyDescent="0.25"/>
    <row r="87" ht="20.100000000000001" customHeight="1" x14ac:dyDescent="0.25"/>
    <row r="88" ht="20.100000000000001" customHeight="1" x14ac:dyDescent="0.25"/>
  </sheetData>
  <sheetProtection password="F8F6" sheet="1" objects="1" scenarios="1"/>
  <mergeCells count="375">
    <mergeCell ref="BT28:BU28"/>
    <mergeCell ref="BV28:BW28"/>
    <mergeCell ref="BB28:BC28"/>
    <mergeCell ref="BD28:BE28"/>
    <mergeCell ref="BF28:BG28"/>
    <mergeCell ref="BH28:BI28"/>
    <mergeCell ref="BJ28:BK28"/>
    <mergeCell ref="BL28:BM28"/>
    <mergeCell ref="BN28:BO28"/>
    <mergeCell ref="BP28:BQ28"/>
    <mergeCell ref="BR28:BS28"/>
    <mergeCell ref="AJ28:AK28"/>
    <mergeCell ref="AL28:AM28"/>
    <mergeCell ref="AN28:AO28"/>
    <mergeCell ref="AP28:AQ28"/>
    <mergeCell ref="AR28:AS28"/>
    <mergeCell ref="AT28:AU28"/>
    <mergeCell ref="AV28:AW28"/>
    <mergeCell ref="AX28:AY28"/>
    <mergeCell ref="AZ28:BA28"/>
    <mergeCell ref="R28:S28"/>
    <mergeCell ref="T28:U28"/>
    <mergeCell ref="V28:W28"/>
    <mergeCell ref="X28:Y28"/>
    <mergeCell ref="Z28:AA28"/>
    <mergeCell ref="AB28:AC28"/>
    <mergeCell ref="AD28:AE28"/>
    <mergeCell ref="AF28:AG28"/>
    <mergeCell ref="AH28:AI28"/>
    <mergeCell ref="L28:M28"/>
    <mergeCell ref="N28:O28"/>
    <mergeCell ref="P28:Q28"/>
    <mergeCell ref="J10:K10"/>
    <mergeCell ref="G27:K27"/>
    <mergeCell ref="L27:M27"/>
    <mergeCell ref="N27:O27"/>
    <mergeCell ref="P27:Q27"/>
    <mergeCell ref="G12:K14"/>
    <mergeCell ref="L24:M24"/>
    <mergeCell ref="N24:O24"/>
    <mergeCell ref="P24:Q24"/>
    <mergeCell ref="G21:I24"/>
    <mergeCell ref="AL5:AO5"/>
    <mergeCell ref="AP5:AW5"/>
    <mergeCell ref="BN1:BO1"/>
    <mergeCell ref="BP1:BQ1"/>
    <mergeCell ref="BR1:BS1"/>
    <mergeCell ref="BT1:BU1"/>
    <mergeCell ref="BV1:BW1"/>
    <mergeCell ref="F6:BY6"/>
    <mergeCell ref="L8:O9"/>
    <mergeCell ref="J8:K9"/>
    <mergeCell ref="J7:O7"/>
    <mergeCell ref="AV1:AW1"/>
    <mergeCell ref="AX1:AY1"/>
    <mergeCell ref="AZ1:BA1"/>
    <mergeCell ref="BB1:BC1"/>
    <mergeCell ref="BD1:BE1"/>
    <mergeCell ref="BF1:BG1"/>
    <mergeCell ref="BH1:BI1"/>
    <mergeCell ref="BJ1:BK1"/>
    <mergeCell ref="BL1:BM1"/>
    <mergeCell ref="AD1:AE1"/>
    <mergeCell ref="AF1:AG1"/>
    <mergeCell ref="AH1:AI1"/>
    <mergeCell ref="AJ1:AK1"/>
    <mergeCell ref="AL1:AM1"/>
    <mergeCell ref="AN1:AO1"/>
    <mergeCell ref="AP1:AQ1"/>
    <mergeCell ref="AR1:AS1"/>
    <mergeCell ref="AT1:AU1"/>
    <mergeCell ref="L1:M1"/>
    <mergeCell ref="N1:O1"/>
    <mergeCell ref="P1:Q1"/>
    <mergeCell ref="R1:S1"/>
    <mergeCell ref="T1:U1"/>
    <mergeCell ref="V1:W1"/>
    <mergeCell ref="X1:Y1"/>
    <mergeCell ref="Z1:AA1"/>
    <mergeCell ref="AB1:AC1"/>
    <mergeCell ref="AD24:AE24"/>
    <mergeCell ref="AF24:AG24"/>
    <mergeCell ref="AH24:AI24"/>
    <mergeCell ref="AJ24:AK24"/>
    <mergeCell ref="AL24:AM24"/>
    <mergeCell ref="AN24:AO24"/>
    <mergeCell ref="AP24:AQ24"/>
    <mergeCell ref="BX19:BY19"/>
    <mergeCell ref="AR24:AS24"/>
    <mergeCell ref="AT24:AU24"/>
    <mergeCell ref="BF24:BG24"/>
    <mergeCell ref="BH24:BI24"/>
    <mergeCell ref="BJ24:BK24"/>
    <mergeCell ref="BL24:BM24"/>
    <mergeCell ref="BN24:BO24"/>
    <mergeCell ref="BP24:BQ24"/>
    <mergeCell ref="BR24:BS24"/>
    <mergeCell ref="BT24:BU24"/>
    <mergeCell ref="BV24:BW24"/>
    <mergeCell ref="BV23:BW23"/>
    <mergeCell ref="BN23:BO23"/>
    <mergeCell ref="BP23:BQ23"/>
    <mergeCell ref="BR23:BS23"/>
    <mergeCell ref="BT23:BU23"/>
    <mergeCell ref="R24:S24"/>
    <mergeCell ref="T24:U24"/>
    <mergeCell ref="V24:W24"/>
    <mergeCell ref="X24:Y24"/>
    <mergeCell ref="Z24:AA24"/>
    <mergeCell ref="AB24:AC24"/>
    <mergeCell ref="BF27:BG27"/>
    <mergeCell ref="BH27:BI27"/>
    <mergeCell ref="BJ27:BK27"/>
    <mergeCell ref="F25:BY25"/>
    <mergeCell ref="BL26:BM26"/>
    <mergeCell ref="BN26:BO26"/>
    <mergeCell ref="BP26:BQ26"/>
    <mergeCell ref="BR26:BS26"/>
    <mergeCell ref="BT26:BU26"/>
    <mergeCell ref="BV26:BW26"/>
    <mergeCell ref="BJ26:BK26"/>
    <mergeCell ref="AT26:AU26"/>
    <mergeCell ref="AV26:AW26"/>
    <mergeCell ref="AX26:AY26"/>
    <mergeCell ref="AZ26:BA26"/>
    <mergeCell ref="BB26:BC26"/>
    <mergeCell ref="BD26:BE26"/>
    <mergeCell ref="F21:F24"/>
    <mergeCell ref="BL27:BY27"/>
    <mergeCell ref="R19:T19"/>
    <mergeCell ref="U19:W19"/>
    <mergeCell ref="X19:Z19"/>
    <mergeCell ref="AA19:AC19"/>
    <mergeCell ref="AD19:AF19"/>
    <mergeCell ref="AG19:AI19"/>
    <mergeCell ref="AJ19:AL19"/>
    <mergeCell ref="AM19:AO19"/>
    <mergeCell ref="AP19:AR19"/>
    <mergeCell ref="AS19:AU19"/>
    <mergeCell ref="AV19:AX19"/>
    <mergeCell ref="AY19:BA19"/>
    <mergeCell ref="BB19:BD19"/>
    <mergeCell ref="BE19:BK19"/>
    <mergeCell ref="BL19:BN19"/>
    <mergeCell ref="BO19:BQ19"/>
    <mergeCell ref="BR19:BT19"/>
    <mergeCell ref="BU19:BW19"/>
    <mergeCell ref="AV24:AW24"/>
    <mergeCell ref="AX24:AY24"/>
    <mergeCell ref="AZ24:BA24"/>
    <mergeCell ref="BB24:BC24"/>
    <mergeCell ref="BD24:BE24"/>
    <mergeCell ref="AP27:AQ27"/>
    <mergeCell ref="AR27:AS27"/>
    <mergeCell ref="AT27:AU27"/>
    <mergeCell ref="AV27:AW27"/>
    <mergeCell ref="AX27:AY27"/>
    <mergeCell ref="AZ27:BA27"/>
    <mergeCell ref="R27:S27"/>
    <mergeCell ref="T27:U27"/>
    <mergeCell ref="V27:W27"/>
    <mergeCell ref="X27:Y27"/>
    <mergeCell ref="Z27:AA27"/>
    <mergeCell ref="AB27:AC27"/>
    <mergeCell ref="AD27:AE27"/>
    <mergeCell ref="AF27:AG27"/>
    <mergeCell ref="AH27:AI27"/>
    <mergeCell ref="BB27:BC27"/>
    <mergeCell ref="BD27:BE27"/>
    <mergeCell ref="F16:F19"/>
    <mergeCell ref="J21:Y21"/>
    <mergeCell ref="Z21:AQ21"/>
    <mergeCell ref="AR21:BI21"/>
    <mergeCell ref="AM18:AO18"/>
    <mergeCell ref="AP18:AR18"/>
    <mergeCell ref="AS18:AU18"/>
    <mergeCell ref="AV18:AX18"/>
    <mergeCell ref="AY18:BA18"/>
    <mergeCell ref="BB18:BD18"/>
    <mergeCell ref="BF26:BG26"/>
    <mergeCell ref="BH26:BI26"/>
    <mergeCell ref="G26:K26"/>
    <mergeCell ref="L26:M26"/>
    <mergeCell ref="N26:O26"/>
    <mergeCell ref="P26:Q26"/>
    <mergeCell ref="R26:S26"/>
    <mergeCell ref="T26:U26"/>
    <mergeCell ref="AH23:AI23"/>
    <mergeCell ref="AJ27:AK27"/>
    <mergeCell ref="AL27:AM27"/>
    <mergeCell ref="AN27:AO27"/>
    <mergeCell ref="BJ21:BY21"/>
    <mergeCell ref="J22:O22"/>
    <mergeCell ref="P22:W22"/>
    <mergeCell ref="X22:Y23"/>
    <mergeCell ref="Z22:AG22"/>
    <mergeCell ref="AH22:AO22"/>
    <mergeCell ref="AP22:AQ23"/>
    <mergeCell ref="AR22:AY22"/>
    <mergeCell ref="AZ22:BG22"/>
    <mergeCell ref="BH22:BI23"/>
    <mergeCell ref="BJ22:BQ22"/>
    <mergeCell ref="BR22:BX22"/>
    <mergeCell ref="BY22:BY23"/>
    <mergeCell ref="AJ23:AK23"/>
    <mergeCell ref="AL23:AM23"/>
    <mergeCell ref="AN23:AO23"/>
    <mergeCell ref="AV23:AW23"/>
    <mergeCell ref="AX23:AY23"/>
    <mergeCell ref="AZ23:BA23"/>
    <mergeCell ref="BB23:BC23"/>
    <mergeCell ref="BD23:BE23"/>
    <mergeCell ref="BF23:BG23"/>
    <mergeCell ref="BJ23:BK23"/>
    <mergeCell ref="BL23:BM23"/>
    <mergeCell ref="BW14:BY14"/>
    <mergeCell ref="R16:AO16"/>
    <mergeCell ref="AP16:AX17"/>
    <mergeCell ref="AY16:BD17"/>
    <mergeCell ref="BE16:BK18"/>
    <mergeCell ref="BL16:BN18"/>
    <mergeCell ref="BO16:BQ18"/>
    <mergeCell ref="BR16:BT18"/>
    <mergeCell ref="BU16:BW18"/>
    <mergeCell ref="BX16:BY18"/>
    <mergeCell ref="R17:W17"/>
    <mergeCell ref="X17:AC17"/>
    <mergeCell ref="AD17:AI17"/>
    <mergeCell ref="AJ17:AO17"/>
    <mergeCell ref="R18:T18"/>
    <mergeCell ref="U18:W18"/>
    <mergeCell ref="X18:Z18"/>
    <mergeCell ref="AA18:AC18"/>
    <mergeCell ref="AD18:AF18"/>
    <mergeCell ref="AG18:AI18"/>
    <mergeCell ref="AJ18:AL18"/>
    <mergeCell ref="BN14:BV14"/>
    <mergeCell ref="F15:BY15"/>
    <mergeCell ref="J16:Q16"/>
    <mergeCell ref="F12:F14"/>
    <mergeCell ref="L14:T14"/>
    <mergeCell ref="U14:AC14"/>
    <mergeCell ref="AD14:AL14"/>
    <mergeCell ref="AM14:AU14"/>
    <mergeCell ref="AV14:BD14"/>
    <mergeCell ref="AR7:AY7"/>
    <mergeCell ref="T8:W8"/>
    <mergeCell ref="AR8:AU8"/>
    <mergeCell ref="AV8:AY8"/>
    <mergeCell ref="L12:T13"/>
    <mergeCell ref="U12:AC13"/>
    <mergeCell ref="AD12:AL13"/>
    <mergeCell ref="P10:Q10"/>
    <mergeCell ref="R10:S10"/>
    <mergeCell ref="AB10:AC10"/>
    <mergeCell ref="AD10:AE10"/>
    <mergeCell ref="AF10:AG10"/>
    <mergeCell ref="AH10:AI10"/>
    <mergeCell ref="AZ7:BG7"/>
    <mergeCell ref="X8:AA8"/>
    <mergeCell ref="T7:AA7"/>
    <mergeCell ref="AB7:AI7"/>
    <mergeCell ref="BE14:BM14"/>
    <mergeCell ref="BN12:BV13"/>
    <mergeCell ref="BW12:BY13"/>
    <mergeCell ref="AM12:BM12"/>
    <mergeCell ref="AM13:AU13"/>
    <mergeCell ref="AV13:BD13"/>
    <mergeCell ref="BE13:BM13"/>
    <mergeCell ref="F3:BY3"/>
    <mergeCell ref="AR9:AS9"/>
    <mergeCell ref="V9:W9"/>
    <mergeCell ref="F4:BY4"/>
    <mergeCell ref="F5:K5"/>
    <mergeCell ref="BN5:BQ5"/>
    <mergeCell ref="BH7:BO7"/>
    <mergeCell ref="BH8:BK8"/>
    <mergeCell ref="BT9:BU9"/>
    <mergeCell ref="BV9:BW9"/>
    <mergeCell ref="BR5:BY5"/>
    <mergeCell ref="P8:Q9"/>
    <mergeCell ref="R8:S9"/>
    <mergeCell ref="BP8:BS8"/>
    <mergeCell ref="BT8:BW8"/>
    <mergeCell ref="BP7:BW7"/>
    <mergeCell ref="T10:U10"/>
    <mergeCell ref="V10:W10"/>
    <mergeCell ref="BX7:BX9"/>
    <mergeCell ref="BY7:BY9"/>
    <mergeCell ref="F7:F10"/>
    <mergeCell ref="AH26:AI26"/>
    <mergeCell ref="AJ26:AK26"/>
    <mergeCell ref="AL26:AM26"/>
    <mergeCell ref="AN26:AO26"/>
    <mergeCell ref="AP26:AQ26"/>
    <mergeCell ref="AR26:AS26"/>
    <mergeCell ref="V26:W26"/>
    <mergeCell ref="X26:Y26"/>
    <mergeCell ref="Z26:AA26"/>
    <mergeCell ref="AB26:AC26"/>
    <mergeCell ref="AD26:AE26"/>
    <mergeCell ref="AF26:AG26"/>
    <mergeCell ref="AR23:AS23"/>
    <mergeCell ref="AT23:AU23"/>
    <mergeCell ref="Z23:AA23"/>
    <mergeCell ref="AB23:AC23"/>
    <mergeCell ref="X10:Y10"/>
    <mergeCell ref="Z10:AA10"/>
    <mergeCell ref="T9:U9"/>
    <mergeCell ref="AH9:AI9"/>
    <mergeCell ref="AP9:AQ9"/>
    <mergeCell ref="X9:Y9"/>
    <mergeCell ref="Z9:AA9"/>
    <mergeCell ref="AB9:AC9"/>
    <mergeCell ref="AD9:AE9"/>
    <mergeCell ref="AF9:AG9"/>
    <mergeCell ref="L10:O10"/>
    <mergeCell ref="L23:M23"/>
    <mergeCell ref="N23:O23"/>
    <mergeCell ref="P23:Q23"/>
    <mergeCell ref="R23:S23"/>
    <mergeCell ref="T23:U23"/>
    <mergeCell ref="V23:W23"/>
    <mergeCell ref="AD23:AE23"/>
    <mergeCell ref="AF23:AG23"/>
    <mergeCell ref="F20:BY20"/>
    <mergeCell ref="F11:BY11"/>
    <mergeCell ref="M17:Q18"/>
    <mergeCell ref="J17:L18"/>
    <mergeCell ref="J19:L19"/>
    <mergeCell ref="M19:Q19"/>
    <mergeCell ref="AZ10:BA10"/>
    <mergeCell ref="BB10:BC10"/>
    <mergeCell ref="BD10:BE10"/>
    <mergeCell ref="BF10:BG10"/>
    <mergeCell ref="AJ10:AK10"/>
    <mergeCell ref="BL8:BO8"/>
    <mergeCell ref="BR9:BS9"/>
    <mergeCell ref="BP9:BQ9"/>
    <mergeCell ref="AT9:AU9"/>
    <mergeCell ref="AV9:AW9"/>
    <mergeCell ref="AX9:AY9"/>
    <mergeCell ref="AZ9:BA9"/>
    <mergeCell ref="BB9:BC9"/>
    <mergeCell ref="BD9:BE9"/>
    <mergeCell ref="BJ9:BK9"/>
    <mergeCell ref="BL9:BM9"/>
    <mergeCell ref="BN9:BO9"/>
    <mergeCell ref="AZ8:BC8"/>
    <mergeCell ref="BD8:BG8"/>
    <mergeCell ref="BF9:BG9"/>
    <mergeCell ref="AB8:AE8"/>
    <mergeCell ref="AF8:AI8"/>
    <mergeCell ref="AJ7:AQ7"/>
    <mergeCell ref="AJ8:AM8"/>
    <mergeCell ref="AN8:AQ8"/>
    <mergeCell ref="BT10:BU10"/>
    <mergeCell ref="BV10:BW10"/>
    <mergeCell ref="BH10:BI10"/>
    <mergeCell ref="BJ10:BK10"/>
    <mergeCell ref="BL10:BM10"/>
    <mergeCell ref="BN10:BO10"/>
    <mergeCell ref="BP10:BQ10"/>
    <mergeCell ref="BR10:BS10"/>
    <mergeCell ref="AJ9:AK9"/>
    <mergeCell ref="AL9:AM9"/>
    <mergeCell ref="AN9:AO9"/>
    <mergeCell ref="AL10:AM10"/>
    <mergeCell ref="AN10:AO10"/>
    <mergeCell ref="AP10:AQ10"/>
    <mergeCell ref="AR10:AS10"/>
    <mergeCell ref="AT10:AU10"/>
    <mergeCell ref="BH9:BI9"/>
    <mergeCell ref="AV10:AW10"/>
    <mergeCell ref="AX10:AY10"/>
  </mergeCells>
  <conditionalFormatting sqref="F21:BY24">
    <cfRule type="expression" dxfId="37" priority="6">
      <formula>$CA$5=1</formula>
    </cfRule>
  </conditionalFormatting>
  <conditionalFormatting sqref="F20:BY20">
    <cfRule type="expression" dxfId="36" priority="5">
      <formula>$CA$5=1</formula>
    </cfRule>
  </conditionalFormatting>
  <conditionalFormatting sqref="F3:BY27">
    <cfRule type="cellIs" dxfId="35" priority="1" operator="equal">
      <formula>0</formula>
    </cfRule>
  </conditionalFormatting>
  <pageMargins left="0" right="0" top="0" bottom="0" header="0" footer="0"/>
  <pageSetup paperSize="9" scale="82"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249977111117893"/>
  </sheetPr>
  <dimension ref="E1:W17"/>
  <sheetViews>
    <sheetView view="pageBreakPreview" topLeftCell="E3" zoomScaleNormal="100" zoomScaleSheetLayoutView="100" workbookViewId="0">
      <pane xSplit="2" ySplit="3" topLeftCell="G6" activePane="bottomRight" state="frozen"/>
      <selection activeCell="E3" sqref="E3"/>
      <selection pane="topRight" activeCell="G3" sqref="G3"/>
      <selection pane="bottomLeft" activeCell="E6" sqref="E6"/>
      <selection pane="bottomRight" activeCell="I13" sqref="I13"/>
    </sheetView>
  </sheetViews>
  <sheetFormatPr defaultRowHeight="15" x14ac:dyDescent="0.25"/>
  <cols>
    <col min="1" max="4" width="0" style="3" hidden="1" customWidth="1"/>
    <col min="5" max="5" width="4.7109375" style="3" customWidth="1"/>
    <col min="6" max="6" width="20" style="3" customWidth="1"/>
    <col min="7" max="7" width="36.28515625" style="3" customWidth="1"/>
    <col min="8" max="8" width="11.85546875" style="3" customWidth="1"/>
    <col min="9" max="9" width="36.28515625" style="3" customWidth="1"/>
    <col min="10" max="10" width="11.85546875" style="3" customWidth="1"/>
    <col min="11" max="15" width="8.7109375" style="3" customWidth="1"/>
    <col min="16" max="16" width="36.28515625" style="3" customWidth="1"/>
    <col min="17" max="17" width="11.85546875" style="3" customWidth="1"/>
    <col min="18" max="18" width="36.28515625" style="3" customWidth="1"/>
    <col min="19" max="19" width="11.85546875" style="3" customWidth="1"/>
    <col min="20" max="20" width="36.28515625" style="3" customWidth="1"/>
    <col min="21" max="21" width="11.85546875" style="3" customWidth="1"/>
    <col min="22" max="22" width="36.28515625" style="3" customWidth="1"/>
    <col min="23" max="23" width="11.85546875" style="3" customWidth="1"/>
    <col min="24" max="16384" width="9.140625" style="3"/>
  </cols>
  <sheetData>
    <row r="1" spans="5:23" hidden="1" x14ac:dyDescent="0.25"/>
    <row r="2" spans="5:23" hidden="1" x14ac:dyDescent="0.25"/>
    <row r="3" spans="5:23" ht="15.75" x14ac:dyDescent="0.25">
      <c r="E3" s="1215" t="s">
        <v>322</v>
      </c>
      <c r="F3" s="1215"/>
      <c r="G3" s="1215"/>
      <c r="H3" s="1215"/>
      <c r="I3" s="1215"/>
      <c r="J3" s="1215"/>
      <c r="K3" s="1215"/>
      <c r="L3" s="1215"/>
      <c r="M3" s="1215"/>
      <c r="N3" s="1215"/>
      <c r="O3" s="1215"/>
      <c r="P3" s="1215"/>
      <c r="Q3" s="1215"/>
      <c r="R3" s="1215"/>
      <c r="S3" s="1215"/>
      <c r="T3" s="1215"/>
      <c r="U3" s="1215"/>
      <c r="V3" s="1215"/>
      <c r="W3" s="1215"/>
    </row>
    <row r="4" spans="5:23" ht="19.5" customHeight="1" x14ac:dyDescent="0.3">
      <c r="E4" s="920" t="s">
        <v>40</v>
      </c>
      <c r="F4" s="920" t="s">
        <v>172</v>
      </c>
      <c r="G4" s="1216" t="s">
        <v>314</v>
      </c>
      <c r="H4" s="1216"/>
      <c r="I4" s="1217" t="s">
        <v>317</v>
      </c>
      <c r="J4" s="1217"/>
      <c r="K4" s="1217" t="s">
        <v>316</v>
      </c>
      <c r="L4" s="1217"/>
      <c r="M4" s="1217"/>
      <c r="N4" s="1217"/>
      <c r="O4" s="1217"/>
      <c r="P4" s="1218" t="s">
        <v>318</v>
      </c>
      <c r="Q4" s="1218"/>
      <c r="R4" s="1212" t="s">
        <v>319</v>
      </c>
      <c r="S4" s="1212"/>
      <c r="T4" s="1213" t="s">
        <v>320</v>
      </c>
      <c r="U4" s="1213"/>
      <c r="V4" s="1214" t="s">
        <v>321</v>
      </c>
      <c r="W4" s="1214"/>
    </row>
    <row r="5" spans="5:23" ht="17.25" customHeight="1" x14ac:dyDescent="0.25">
      <c r="E5" s="920"/>
      <c r="F5" s="920"/>
      <c r="G5" s="435" t="s">
        <v>315</v>
      </c>
      <c r="H5" s="435" t="s">
        <v>341</v>
      </c>
      <c r="I5" s="436" t="s">
        <v>315</v>
      </c>
      <c r="J5" s="436" t="s">
        <v>341</v>
      </c>
      <c r="K5" s="437">
        <v>1</v>
      </c>
      <c r="L5" s="437">
        <v>2</v>
      </c>
      <c r="M5" s="437">
        <v>3</v>
      </c>
      <c r="N5" s="437">
        <v>4</v>
      </c>
      <c r="O5" s="437">
        <v>5</v>
      </c>
      <c r="P5" s="438" t="s">
        <v>315</v>
      </c>
      <c r="Q5" s="438" t="s">
        <v>341</v>
      </c>
      <c r="R5" s="439" t="s">
        <v>315</v>
      </c>
      <c r="S5" s="439" t="s">
        <v>341</v>
      </c>
      <c r="T5" s="440" t="s">
        <v>315</v>
      </c>
      <c r="U5" s="440" t="s">
        <v>341</v>
      </c>
      <c r="V5" s="441" t="s">
        <v>315</v>
      </c>
      <c r="W5" s="441" t="s">
        <v>341</v>
      </c>
    </row>
    <row r="6" spans="5:23" ht="24.95" customHeight="1" x14ac:dyDescent="0.25">
      <c r="E6" s="20">
        <f ca="1">PAYMENT!AF8</f>
        <v>1</v>
      </c>
      <c r="F6" s="384" t="str">
        <f>PAYMENT!AG8</f>
        <v>मई 2019</v>
      </c>
      <c r="G6" s="442"/>
      <c r="H6" s="443"/>
      <c r="I6" s="444"/>
      <c r="J6" s="445"/>
      <c r="K6" s="444"/>
      <c r="L6" s="444"/>
      <c r="M6" s="444"/>
      <c r="N6" s="444"/>
      <c r="O6" s="444"/>
      <c r="P6" s="446"/>
      <c r="Q6" s="447"/>
      <c r="R6" s="448"/>
      <c r="S6" s="449"/>
      <c r="T6" s="450"/>
      <c r="U6" s="451"/>
      <c r="V6" s="452"/>
      <c r="W6" s="453"/>
    </row>
    <row r="7" spans="5:23" ht="24.95" customHeight="1" x14ac:dyDescent="0.25">
      <c r="E7" s="385">
        <f ca="1">PAYMENT!AF9</f>
        <v>2</v>
      </c>
      <c r="F7" s="386" t="str">
        <f>PAYMENT!AG9</f>
        <v>जून 2019</v>
      </c>
      <c r="G7" s="454">
        <f t="shared" ref="G7:J8" si="0">G6</f>
        <v>0</v>
      </c>
      <c r="H7" s="455">
        <f t="shared" si="0"/>
        <v>0</v>
      </c>
      <c r="I7" s="456">
        <f t="shared" si="0"/>
        <v>0</v>
      </c>
      <c r="J7" s="457">
        <f t="shared" si="0"/>
        <v>0</v>
      </c>
      <c r="K7" s="456">
        <f t="shared" ref="K7:W7" si="1">K6</f>
        <v>0</v>
      </c>
      <c r="L7" s="456">
        <f t="shared" si="1"/>
        <v>0</v>
      </c>
      <c r="M7" s="456">
        <f t="shared" si="1"/>
        <v>0</v>
      </c>
      <c r="N7" s="456">
        <f t="shared" si="1"/>
        <v>0</v>
      </c>
      <c r="O7" s="456">
        <f t="shared" si="1"/>
        <v>0</v>
      </c>
      <c r="P7" s="458">
        <f t="shared" si="1"/>
        <v>0</v>
      </c>
      <c r="Q7" s="459">
        <f t="shared" si="1"/>
        <v>0</v>
      </c>
      <c r="R7" s="460">
        <f t="shared" si="1"/>
        <v>0</v>
      </c>
      <c r="S7" s="461">
        <f t="shared" si="1"/>
        <v>0</v>
      </c>
      <c r="T7" s="462">
        <f t="shared" si="1"/>
        <v>0</v>
      </c>
      <c r="U7" s="463">
        <f t="shared" si="1"/>
        <v>0</v>
      </c>
      <c r="V7" s="464">
        <f t="shared" si="1"/>
        <v>0</v>
      </c>
      <c r="W7" s="465">
        <f t="shared" si="1"/>
        <v>0</v>
      </c>
    </row>
    <row r="8" spans="5:23" ht="24.95" customHeight="1" x14ac:dyDescent="0.25">
      <c r="E8" s="20">
        <f ca="1">PAYMENT!AF10</f>
        <v>3</v>
      </c>
      <c r="F8" s="384" t="str">
        <f>PAYMENT!AG10</f>
        <v>जुलाई 2019</v>
      </c>
      <c r="G8" s="466">
        <f t="shared" si="0"/>
        <v>0</v>
      </c>
      <c r="H8" s="467">
        <f t="shared" si="0"/>
        <v>0</v>
      </c>
      <c r="I8" s="468">
        <f t="shared" si="0"/>
        <v>0</v>
      </c>
      <c r="J8" s="445">
        <f t="shared" si="0"/>
        <v>0</v>
      </c>
      <c r="K8" s="468">
        <f t="shared" ref="K8:K9" si="2">K7</f>
        <v>0</v>
      </c>
      <c r="L8" s="468">
        <f t="shared" ref="L8:L9" si="3">L7</f>
        <v>0</v>
      </c>
      <c r="M8" s="468">
        <f t="shared" ref="M8:M9" si="4">M7</f>
        <v>0</v>
      </c>
      <c r="N8" s="468">
        <f t="shared" ref="N8:N9" si="5">N7</f>
        <v>0</v>
      </c>
      <c r="O8" s="468">
        <f t="shared" ref="O8:O9" si="6">O7</f>
        <v>0</v>
      </c>
      <c r="P8" s="469">
        <f t="shared" ref="P8:P9" si="7">P7</f>
        <v>0</v>
      </c>
      <c r="Q8" s="447">
        <f t="shared" ref="Q8:Q9" si="8">Q7</f>
        <v>0</v>
      </c>
      <c r="R8" s="470">
        <f t="shared" ref="R8:R9" si="9">R7</f>
        <v>0</v>
      </c>
      <c r="S8" s="449">
        <f t="shared" ref="S8:S9" si="10">S7</f>
        <v>0</v>
      </c>
      <c r="T8" s="471">
        <f t="shared" ref="T8:T9" si="11">T7</f>
        <v>0</v>
      </c>
      <c r="U8" s="451">
        <f t="shared" ref="U8:U9" si="12">U7</f>
        <v>0</v>
      </c>
      <c r="V8" s="472">
        <f t="shared" ref="V8:V9" si="13">V7</f>
        <v>0</v>
      </c>
      <c r="W8" s="453">
        <f t="shared" ref="W8:W9" si="14">W7</f>
        <v>0</v>
      </c>
    </row>
    <row r="9" spans="5:23" ht="24.95" customHeight="1" x14ac:dyDescent="0.25">
      <c r="E9" s="385">
        <f ca="1">PAYMENT!AF11</f>
        <v>4</v>
      </c>
      <c r="F9" s="386" t="str">
        <f>PAYMENT!AG11</f>
        <v>अगस्त 2019</v>
      </c>
      <c r="G9" s="454">
        <f t="shared" ref="G9:G16" si="15">G8</f>
        <v>0</v>
      </c>
      <c r="H9" s="455">
        <f t="shared" ref="H9:H16" si="16">H8</f>
        <v>0</v>
      </c>
      <c r="I9" s="456">
        <f t="shared" ref="I9:I16" si="17">I8</f>
        <v>0</v>
      </c>
      <c r="J9" s="457">
        <f t="shared" ref="J9:J16" si="18">J8</f>
        <v>0</v>
      </c>
      <c r="K9" s="456">
        <f t="shared" si="2"/>
        <v>0</v>
      </c>
      <c r="L9" s="456">
        <f t="shared" si="3"/>
        <v>0</v>
      </c>
      <c r="M9" s="456">
        <f t="shared" si="4"/>
        <v>0</v>
      </c>
      <c r="N9" s="456">
        <f t="shared" si="5"/>
        <v>0</v>
      </c>
      <c r="O9" s="456">
        <f t="shared" si="6"/>
        <v>0</v>
      </c>
      <c r="P9" s="458">
        <f t="shared" si="7"/>
        <v>0</v>
      </c>
      <c r="Q9" s="459">
        <f t="shared" si="8"/>
        <v>0</v>
      </c>
      <c r="R9" s="460">
        <f t="shared" si="9"/>
        <v>0</v>
      </c>
      <c r="S9" s="461">
        <f t="shared" si="10"/>
        <v>0</v>
      </c>
      <c r="T9" s="462">
        <f t="shared" si="11"/>
        <v>0</v>
      </c>
      <c r="U9" s="463">
        <f t="shared" si="12"/>
        <v>0</v>
      </c>
      <c r="V9" s="464">
        <f t="shared" si="13"/>
        <v>0</v>
      </c>
      <c r="W9" s="465">
        <f t="shared" si="14"/>
        <v>0</v>
      </c>
    </row>
    <row r="10" spans="5:23" ht="24.95" customHeight="1" x14ac:dyDescent="0.25">
      <c r="E10" s="20">
        <f ca="1">PAYMENT!AF12</f>
        <v>5</v>
      </c>
      <c r="F10" s="384" t="str">
        <f>PAYMENT!AG12</f>
        <v>सितम्बर 2019</v>
      </c>
      <c r="G10" s="466">
        <f t="shared" si="15"/>
        <v>0</v>
      </c>
      <c r="H10" s="467">
        <f t="shared" si="16"/>
        <v>0</v>
      </c>
      <c r="I10" s="468">
        <f t="shared" si="17"/>
        <v>0</v>
      </c>
      <c r="J10" s="445">
        <f t="shared" si="18"/>
        <v>0</v>
      </c>
      <c r="K10" s="468">
        <f t="shared" ref="K10:K17" si="19">K9</f>
        <v>0</v>
      </c>
      <c r="L10" s="468">
        <f t="shared" ref="L10:L17" si="20">L9</f>
        <v>0</v>
      </c>
      <c r="M10" s="468">
        <f t="shared" ref="M10:M17" si="21">M9</f>
        <v>0</v>
      </c>
      <c r="N10" s="468">
        <f t="shared" ref="N10:N17" si="22">N9</f>
        <v>0</v>
      </c>
      <c r="O10" s="468">
        <f t="shared" ref="O10:O17" si="23">O9</f>
        <v>0</v>
      </c>
      <c r="P10" s="469">
        <f t="shared" ref="P10:P17" si="24">P9</f>
        <v>0</v>
      </c>
      <c r="Q10" s="447">
        <f t="shared" ref="Q10:Q17" si="25">Q9</f>
        <v>0</v>
      </c>
      <c r="R10" s="470">
        <f t="shared" ref="R10:R17" si="26">R9</f>
        <v>0</v>
      </c>
      <c r="S10" s="449">
        <f t="shared" ref="S10:S17" si="27">S9</f>
        <v>0</v>
      </c>
      <c r="T10" s="471">
        <f t="shared" ref="T10:T17" si="28">T9</f>
        <v>0</v>
      </c>
      <c r="U10" s="451">
        <f t="shared" ref="U10:U17" si="29">U9</f>
        <v>0</v>
      </c>
      <c r="V10" s="472">
        <f t="shared" ref="V10:V17" si="30">V9</f>
        <v>0</v>
      </c>
      <c r="W10" s="453">
        <f t="shared" ref="W10:W17" si="31">W9</f>
        <v>0</v>
      </c>
    </row>
    <row r="11" spans="5:23" ht="24.95" customHeight="1" x14ac:dyDescent="0.25">
      <c r="E11" s="385">
        <f ca="1">PAYMENT!AF13</f>
        <v>6</v>
      </c>
      <c r="F11" s="386" t="str">
        <f>PAYMENT!AG13</f>
        <v>अक्टूम्बर 2019</v>
      </c>
      <c r="G11" s="454">
        <f t="shared" si="15"/>
        <v>0</v>
      </c>
      <c r="H11" s="455">
        <f t="shared" si="16"/>
        <v>0</v>
      </c>
      <c r="I11" s="456">
        <f t="shared" si="17"/>
        <v>0</v>
      </c>
      <c r="J11" s="457">
        <f t="shared" si="18"/>
        <v>0</v>
      </c>
      <c r="K11" s="456">
        <f t="shared" si="19"/>
        <v>0</v>
      </c>
      <c r="L11" s="456">
        <f t="shared" si="20"/>
        <v>0</v>
      </c>
      <c r="M11" s="456">
        <f t="shared" si="21"/>
        <v>0</v>
      </c>
      <c r="N11" s="456">
        <f t="shared" si="22"/>
        <v>0</v>
      </c>
      <c r="O11" s="456">
        <f t="shared" si="23"/>
        <v>0</v>
      </c>
      <c r="P11" s="458">
        <f t="shared" si="24"/>
        <v>0</v>
      </c>
      <c r="Q11" s="459">
        <f t="shared" si="25"/>
        <v>0</v>
      </c>
      <c r="R11" s="460">
        <f t="shared" si="26"/>
        <v>0</v>
      </c>
      <c r="S11" s="461">
        <f t="shared" si="27"/>
        <v>0</v>
      </c>
      <c r="T11" s="462">
        <f t="shared" si="28"/>
        <v>0</v>
      </c>
      <c r="U11" s="463">
        <f t="shared" si="29"/>
        <v>0</v>
      </c>
      <c r="V11" s="464">
        <f t="shared" si="30"/>
        <v>0</v>
      </c>
      <c r="W11" s="465">
        <f t="shared" si="31"/>
        <v>0</v>
      </c>
    </row>
    <row r="12" spans="5:23" ht="24.95" customHeight="1" x14ac:dyDescent="0.25">
      <c r="E12" s="20">
        <f ca="1">PAYMENT!AF14</f>
        <v>7</v>
      </c>
      <c r="F12" s="384" t="str">
        <f>PAYMENT!AG14</f>
        <v>नवम्बर 2019</v>
      </c>
      <c r="G12" s="466">
        <f t="shared" si="15"/>
        <v>0</v>
      </c>
      <c r="H12" s="467">
        <f t="shared" si="16"/>
        <v>0</v>
      </c>
      <c r="I12" s="468">
        <f t="shared" si="17"/>
        <v>0</v>
      </c>
      <c r="J12" s="445">
        <f t="shared" si="18"/>
        <v>0</v>
      </c>
      <c r="K12" s="468">
        <f t="shared" si="19"/>
        <v>0</v>
      </c>
      <c r="L12" s="468">
        <f t="shared" si="20"/>
        <v>0</v>
      </c>
      <c r="M12" s="468">
        <f t="shared" si="21"/>
        <v>0</v>
      </c>
      <c r="N12" s="468">
        <f t="shared" si="22"/>
        <v>0</v>
      </c>
      <c r="O12" s="468">
        <f t="shared" si="23"/>
        <v>0</v>
      </c>
      <c r="P12" s="469">
        <f t="shared" si="24"/>
        <v>0</v>
      </c>
      <c r="Q12" s="447">
        <f t="shared" si="25"/>
        <v>0</v>
      </c>
      <c r="R12" s="470">
        <f t="shared" si="26"/>
        <v>0</v>
      </c>
      <c r="S12" s="449">
        <f t="shared" si="27"/>
        <v>0</v>
      </c>
      <c r="T12" s="471">
        <f t="shared" si="28"/>
        <v>0</v>
      </c>
      <c r="U12" s="451">
        <f t="shared" si="29"/>
        <v>0</v>
      </c>
      <c r="V12" s="472">
        <f t="shared" si="30"/>
        <v>0</v>
      </c>
      <c r="W12" s="453">
        <f t="shared" si="31"/>
        <v>0</v>
      </c>
    </row>
    <row r="13" spans="5:23" ht="24.95" customHeight="1" x14ac:dyDescent="0.25">
      <c r="E13" s="385">
        <f ca="1">PAYMENT!AF15</f>
        <v>8</v>
      </c>
      <c r="F13" s="386" t="str">
        <f>PAYMENT!AG15</f>
        <v>दिसम्बर 2019</v>
      </c>
      <c r="G13" s="454">
        <f t="shared" si="15"/>
        <v>0</v>
      </c>
      <c r="H13" s="455">
        <f t="shared" si="16"/>
        <v>0</v>
      </c>
      <c r="I13" s="456">
        <f t="shared" si="17"/>
        <v>0</v>
      </c>
      <c r="J13" s="457">
        <f t="shared" si="18"/>
        <v>0</v>
      </c>
      <c r="K13" s="456">
        <f t="shared" si="19"/>
        <v>0</v>
      </c>
      <c r="L13" s="456">
        <f t="shared" si="20"/>
        <v>0</v>
      </c>
      <c r="M13" s="456">
        <f t="shared" si="21"/>
        <v>0</v>
      </c>
      <c r="N13" s="456">
        <f t="shared" si="22"/>
        <v>0</v>
      </c>
      <c r="O13" s="456">
        <f t="shared" si="23"/>
        <v>0</v>
      </c>
      <c r="P13" s="458">
        <f t="shared" si="24"/>
        <v>0</v>
      </c>
      <c r="Q13" s="459">
        <f t="shared" si="25"/>
        <v>0</v>
      </c>
      <c r="R13" s="460">
        <f t="shared" si="26"/>
        <v>0</v>
      </c>
      <c r="S13" s="461">
        <f t="shared" si="27"/>
        <v>0</v>
      </c>
      <c r="T13" s="462">
        <f t="shared" si="28"/>
        <v>0</v>
      </c>
      <c r="U13" s="463">
        <f t="shared" si="29"/>
        <v>0</v>
      </c>
      <c r="V13" s="464">
        <f t="shared" si="30"/>
        <v>0</v>
      </c>
      <c r="W13" s="465">
        <f t="shared" si="31"/>
        <v>0</v>
      </c>
    </row>
    <row r="14" spans="5:23" ht="24.95" customHeight="1" x14ac:dyDescent="0.25">
      <c r="E14" s="20">
        <f ca="1">PAYMENT!AF16</f>
        <v>9</v>
      </c>
      <c r="F14" s="384" t="str">
        <f>PAYMENT!AG16</f>
        <v>जनवरी 2020</v>
      </c>
      <c r="G14" s="466">
        <f t="shared" si="15"/>
        <v>0</v>
      </c>
      <c r="H14" s="467">
        <f t="shared" si="16"/>
        <v>0</v>
      </c>
      <c r="I14" s="468">
        <f t="shared" si="17"/>
        <v>0</v>
      </c>
      <c r="J14" s="445">
        <f t="shared" si="18"/>
        <v>0</v>
      </c>
      <c r="K14" s="468">
        <f t="shared" si="19"/>
        <v>0</v>
      </c>
      <c r="L14" s="468">
        <f t="shared" si="20"/>
        <v>0</v>
      </c>
      <c r="M14" s="468">
        <f t="shared" si="21"/>
        <v>0</v>
      </c>
      <c r="N14" s="468">
        <f t="shared" si="22"/>
        <v>0</v>
      </c>
      <c r="O14" s="468">
        <f t="shared" si="23"/>
        <v>0</v>
      </c>
      <c r="P14" s="469">
        <f t="shared" si="24"/>
        <v>0</v>
      </c>
      <c r="Q14" s="447">
        <f t="shared" si="25"/>
        <v>0</v>
      </c>
      <c r="R14" s="470">
        <f t="shared" si="26"/>
        <v>0</v>
      </c>
      <c r="S14" s="449">
        <f t="shared" si="27"/>
        <v>0</v>
      </c>
      <c r="T14" s="471">
        <f t="shared" si="28"/>
        <v>0</v>
      </c>
      <c r="U14" s="451">
        <f t="shared" si="29"/>
        <v>0</v>
      </c>
      <c r="V14" s="472">
        <f t="shared" si="30"/>
        <v>0</v>
      </c>
      <c r="W14" s="453">
        <f t="shared" si="31"/>
        <v>0</v>
      </c>
    </row>
    <row r="15" spans="5:23" ht="24.95" customHeight="1" x14ac:dyDescent="0.25">
      <c r="E15" s="385">
        <f ca="1">PAYMENT!AF17</f>
        <v>0</v>
      </c>
      <c r="F15" s="386" t="str">
        <f>PAYMENT!AG17</f>
        <v>फरवरी 2020</v>
      </c>
      <c r="G15" s="454">
        <f t="shared" si="15"/>
        <v>0</v>
      </c>
      <c r="H15" s="455">
        <f t="shared" si="16"/>
        <v>0</v>
      </c>
      <c r="I15" s="456">
        <f t="shared" si="17"/>
        <v>0</v>
      </c>
      <c r="J15" s="457">
        <f t="shared" si="18"/>
        <v>0</v>
      </c>
      <c r="K15" s="456">
        <f t="shared" si="19"/>
        <v>0</v>
      </c>
      <c r="L15" s="456">
        <f t="shared" si="20"/>
        <v>0</v>
      </c>
      <c r="M15" s="456">
        <f t="shared" si="21"/>
        <v>0</v>
      </c>
      <c r="N15" s="456">
        <f t="shared" si="22"/>
        <v>0</v>
      </c>
      <c r="O15" s="456">
        <f t="shared" si="23"/>
        <v>0</v>
      </c>
      <c r="P15" s="458">
        <f t="shared" si="24"/>
        <v>0</v>
      </c>
      <c r="Q15" s="459">
        <f t="shared" si="25"/>
        <v>0</v>
      </c>
      <c r="R15" s="460">
        <f t="shared" si="26"/>
        <v>0</v>
      </c>
      <c r="S15" s="461">
        <f t="shared" si="27"/>
        <v>0</v>
      </c>
      <c r="T15" s="462">
        <f t="shared" si="28"/>
        <v>0</v>
      </c>
      <c r="U15" s="463">
        <f t="shared" si="29"/>
        <v>0</v>
      </c>
      <c r="V15" s="464">
        <f t="shared" si="30"/>
        <v>0</v>
      </c>
      <c r="W15" s="465">
        <f t="shared" si="31"/>
        <v>0</v>
      </c>
    </row>
    <row r="16" spans="5:23" ht="24.95" customHeight="1" x14ac:dyDescent="0.25">
      <c r="E16" s="20">
        <f ca="1">PAYMENT!AF18</f>
        <v>0</v>
      </c>
      <c r="F16" s="384" t="str">
        <f>PAYMENT!AG18</f>
        <v>मार्च 2020</v>
      </c>
      <c r="G16" s="466">
        <f t="shared" si="15"/>
        <v>0</v>
      </c>
      <c r="H16" s="467">
        <f t="shared" si="16"/>
        <v>0</v>
      </c>
      <c r="I16" s="468">
        <f t="shared" si="17"/>
        <v>0</v>
      </c>
      <c r="J16" s="445">
        <f t="shared" si="18"/>
        <v>0</v>
      </c>
      <c r="K16" s="468">
        <f t="shared" si="19"/>
        <v>0</v>
      </c>
      <c r="L16" s="468">
        <f t="shared" si="20"/>
        <v>0</v>
      </c>
      <c r="M16" s="468">
        <f t="shared" si="21"/>
        <v>0</v>
      </c>
      <c r="N16" s="468">
        <f t="shared" si="22"/>
        <v>0</v>
      </c>
      <c r="O16" s="468">
        <f t="shared" si="23"/>
        <v>0</v>
      </c>
      <c r="P16" s="469">
        <f t="shared" si="24"/>
        <v>0</v>
      </c>
      <c r="Q16" s="447">
        <f t="shared" si="25"/>
        <v>0</v>
      </c>
      <c r="R16" s="470">
        <f t="shared" si="26"/>
        <v>0</v>
      </c>
      <c r="S16" s="449">
        <f t="shared" si="27"/>
        <v>0</v>
      </c>
      <c r="T16" s="471">
        <f t="shared" si="28"/>
        <v>0</v>
      </c>
      <c r="U16" s="451">
        <f t="shared" si="29"/>
        <v>0</v>
      </c>
      <c r="V16" s="472">
        <f t="shared" si="30"/>
        <v>0</v>
      </c>
      <c r="W16" s="453">
        <f t="shared" si="31"/>
        <v>0</v>
      </c>
    </row>
    <row r="17" spans="5:23" ht="24.95" customHeight="1" x14ac:dyDescent="0.25">
      <c r="E17" s="385">
        <f ca="1">PAYMENT!AF19</f>
        <v>0</v>
      </c>
      <c r="F17" s="386" t="str">
        <f>PAYMENT!AG19</f>
        <v>अप्रैल 2020</v>
      </c>
      <c r="G17" s="454">
        <f>G16</f>
        <v>0</v>
      </c>
      <c r="H17" s="455">
        <f>H16</f>
        <v>0</v>
      </c>
      <c r="I17" s="456">
        <f>I16</f>
        <v>0</v>
      </c>
      <c r="J17" s="457">
        <f>J16</f>
        <v>0</v>
      </c>
      <c r="K17" s="456">
        <f t="shared" si="19"/>
        <v>0</v>
      </c>
      <c r="L17" s="456">
        <f t="shared" si="20"/>
        <v>0</v>
      </c>
      <c r="M17" s="456">
        <f t="shared" si="21"/>
        <v>0</v>
      </c>
      <c r="N17" s="456">
        <f t="shared" si="22"/>
        <v>0</v>
      </c>
      <c r="O17" s="456">
        <f t="shared" si="23"/>
        <v>0</v>
      </c>
      <c r="P17" s="458">
        <f t="shared" si="24"/>
        <v>0</v>
      </c>
      <c r="Q17" s="459">
        <f t="shared" si="25"/>
        <v>0</v>
      </c>
      <c r="R17" s="460">
        <f t="shared" si="26"/>
        <v>0</v>
      </c>
      <c r="S17" s="461">
        <f t="shared" si="27"/>
        <v>0</v>
      </c>
      <c r="T17" s="462">
        <f t="shared" si="28"/>
        <v>0</v>
      </c>
      <c r="U17" s="463">
        <f t="shared" si="29"/>
        <v>0</v>
      </c>
      <c r="V17" s="464">
        <f t="shared" si="30"/>
        <v>0</v>
      </c>
      <c r="W17" s="465">
        <f t="shared" si="31"/>
        <v>0</v>
      </c>
    </row>
  </sheetData>
  <sheetProtection password="B653" sheet="1" objects="1" scenarios="1"/>
  <mergeCells count="10">
    <mergeCell ref="R4:S4"/>
    <mergeCell ref="T4:U4"/>
    <mergeCell ref="V4:W4"/>
    <mergeCell ref="E3:W3"/>
    <mergeCell ref="E4:E5"/>
    <mergeCell ref="F4:F5"/>
    <mergeCell ref="G4:H4"/>
    <mergeCell ref="I4:J4"/>
    <mergeCell ref="K4:O4"/>
    <mergeCell ref="P4:Q4"/>
  </mergeCells>
  <conditionalFormatting sqref="G7:W7">
    <cfRule type="cellIs" dxfId="34" priority="17" operator="equal">
      <formula>0</formula>
    </cfRule>
  </conditionalFormatting>
  <conditionalFormatting sqref="G8:W8">
    <cfRule type="cellIs" dxfId="33" priority="16" operator="equal">
      <formula>0</formula>
    </cfRule>
  </conditionalFormatting>
  <conditionalFormatting sqref="G9:W9 G11:W11 G13:W13 G15:W15">
    <cfRule type="cellIs" dxfId="32" priority="15" operator="equal">
      <formula>0</formula>
    </cfRule>
  </conditionalFormatting>
  <conditionalFormatting sqref="G10:W10 G12:W12 G14:W14 G16:W16">
    <cfRule type="cellIs" dxfId="31" priority="14" operator="equal">
      <formula>0</formula>
    </cfRule>
  </conditionalFormatting>
  <conditionalFormatting sqref="G17:W17">
    <cfRule type="cellIs" dxfId="30" priority="13" operator="equal">
      <formula>0</formula>
    </cfRule>
  </conditionalFormatting>
  <conditionalFormatting sqref="J6">
    <cfRule type="cellIs" dxfId="29" priority="12" operator="equal">
      <formula>0</formula>
    </cfRule>
  </conditionalFormatting>
  <conditionalFormatting sqref="U6">
    <cfRule type="cellIs" dxfId="28" priority="5" operator="equal">
      <formula>0</formula>
    </cfRule>
  </conditionalFormatting>
  <conditionalFormatting sqref="Q6">
    <cfRule type="cellIs" dxfId="27" priority="2" operator="equal">
      <formula>0</formula>
    </cfRule>
  </conditionalFormatting>
  <conditionalFormatting sqref="W6">
    <cfRule type="cellIs" dxfId="26" priority="6" operator="equal">
      <formula>0</formula>
    </cfRule>
  </conditionalFormatting>
  <conditionalFormatting sqref="S6">
    <cfRule type="cellIs" dxfId="25" priority="4" operator="equal">
      <formula>0</formula>
    </cfRule>
  </conditionalFormatting>
  <conditionalFormatting sqref="E6:W17">
    <cfRule type="expression" dxfId="24" priority="1">
      <formula>$E6=0</formula>
    </cfRule>
  </conditionalFormatting>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499984740745262"/>
  </sheetPr>
  <dimension ref="A1:EI25"/>
  <sheetViews>
    <sheetView view="pageBreakPreview" topLeftCell="CX4" zoomScaleNormal="100" zoomScaleSheetLayoutView="100" workbookViewId="0">
      <pane xSplit="1" ySplit="5" topLeftCell="CY9" activePane="bottomRight" state="frozen"/>
      <selection activeCell="CX4" sqref="CX4"/>
      <selection pane="topRight" activeCell="CY4" sqref="CY4"/>
      <selection pane="bottomLeft" activeCell="CX9" sqref="CX9"/>
      <selection pane="bottomRight" activeCell="CY9" sqref="CY9"/>
    </sheetView>
  </sheetViews>
  <sheetFormatPr defaultRowHeight="15" x14ac:dyDescent="0.25"/>
  <cols>
    <col min="1" max="25" width="9.140625" hidden="1" customWidth="1"/>
    <col min="26" max="26" width="4.7109375" hidden="1" customWidth="1"/>
    <col min="27" max="27" width="20" hidden="1" customWidth="1"/>
    <col min="28" max="30" width="5.7109375" hidden="1" customWidth="1"/>
    <col min="31" max="31" width="7.85546875" hidden="1" customWidth="1"/>
    <col min="32" max="45" width="5.7109375" hidden="1" customWidth="1"/>
    <col min="46" max="46" width="6.85546875" hidden="1" customWidth="1"/>
    <col min="47" max="48" width="5.7109375" hidden="1" customWidth="1"/>
    <col min="49" max="49" width="6.85546875" hidden="1" customWidth="1"/>
    <col min="50" max="60" width="5.7109375" hidden="1" customWidth="1"/>
    <col min="61" max="61" width="7" hidden="1" customWidth="1"/>
    <col min="62" max="62" width="6.5703125" hidden="1" customWidth="1"/>
    <col min="63" max="67" width="5.7109375" hidden="1" customWidth="1"/>
    <col min="68" max="68" width="6.7109375" hidden="1" customWidth="1"/>
    <col min="69" max="70" width="5.7109375" hidden="1" customWidth="1"/>
    <col min="71" max="71" width="7" hidden="1" customWidth="1"/>
    <col min="72" max="76" width="5.7109375" hidden="1" customWidth="1"/>
    <col min="77" max="77" width="6.7109375" hidden="1" customWidth="1"/>
    <col min="78" max="78" width="7" hidden="1" customWidth="1"/>
    <col min="79" max="80" width="5.7109375" hidden="1" customWidth="1"/>
    <col min="81" max="81" width="7" hidden="1" customWidth="1"/>
    <col min="82" max="83" width="5.7109375" hidden="1" customWidth="1"/>
    <col min="84" max="84" width="6.85546875" hidden="1" customWidth="1"/>
    <col min="85" max="92" width="5.7109375" hidden="1" customWidth="1"/>
    <col min="93" max="93" width="7" hidden="1" customWidth="1"/>
    <col min="94" max="94" width="5.7109375" hidden="1" customWidth="1"/>
    <col min="95" max="95" width="7.42578125" hidden="1" customWidth="1"/>
    <col min="96" max="97" width="5.7109375" hidden="1" customWidth="1"/>
    <col min="98" max="101" width="9.140625" hidden="1" customWidth="1"/>
    <col min="102" max="102" width="1.7109375" customWidth="1"/>
    <col min="103" max="103" width="7.5703125" customWidth="1"/>
    <col min="104" max="104" width="20.7109375" customWidth="1"/>
    <col min="105" max="107" width="12.7109375" customWidth="1"/>
    <col min="108" max="108" width="1.7109375" customWidth="1"/>
    <col min="109" max="109" width="7.5703125" customWidth="1"/>
    <col min="110" max="110" width="20.7109375" customWidth="1"/>
    <col min="111" max="113" width="12.7109375" customWidth="1"/>
    <col min="114" max="115" width="1.7109375" customWidth="1"/>
    <col min="116" max="116" width="7.5703125" customWidth="1"/>
    <col min="117" max="117" width="20.7109375" customWidth="1"/>
    <col min="118" max="120" width="12.7109375" customWidth="1"/>
    <col min="121" max="121" width="1.7109375" customWidth="1"/>
    <col min="122" max="122" width="7.5703125" customWidth="1"/>
    <col min="123" max="123" width="20.7109375" customWidth="1"/>
    <col min="124" max="126" width="12.7109375" customWidth="1"/>
    <col min="127" max="128" width="1.7109375" customWidth="1"/>
    <col min="129" max="129" width="7.5703125" customWidth="1"/>
    <col min="130" max="130" width="20.7109375" customWidth="1"/>
    <col min="131" max="133" width="12.7109375" customWidth="1"/>
    <col min="134" max="134" width="1.7109375" customWidth="1"/>
    <col min="135" max="135" width="7.5703125" customWidth="1"/>
    <col min="136" max="136" width="20.7109375" customWidth="1"/>
    <col min="137" max="139" width="12.7109375" customWidth="1"/>
    <col min="140" max="140" width="1.7109375" customWidth="1"/>
  </cols>
  <sheetData>
    <row r="1" spans="1:139" hidden="1" x14ac:dyDescent="0.25">
      <c r="CY1">
        <v>2</v>
      </c>
      <c r="CZ1">
        <v>3</v>
      </c>
      <c r="DE1">
        <v>4</v>
      </c>
      <c r="DF1">
        <v>5</v>
      </c>
      <c r="DL1">
        <v>11</v>
      </c>
      <c r="DM1">
        <v>12</v>
      </c>
      <c r="DR1">
        <v>13</v>
      </c>
      <c r="DS1">
        <v>14</v>
      </c>
      <c r="DY1">
        <v>15</v>
      </c>
      <c r="DZ1">
        <v>16</v>
      </c>
      <c r="EE1">
        <v>17</v>
      </c>
      <c r="EF1">
        <v>18</v>
      </c>
    </row>
    <row r="2" spans="1:139" hidden="1" x14ac:dyDescent="0.25">
      <c r="AE2">
        <f ca="1">IF(I5&gt;=1,(IF(AQ8&gt;=1,AQ8/5,0)),0)</f>
        <v>0</v>
      </c>
      <c r="CT2">
        <f>IFERROR(INDEX(V8:AA19,MATCH(CW2,AA8:AA19,0),1),0)</f>
        <v>0</v>
      </c>
      <c r="CU2">
        <f>IFERROR(INDEX(V8:AA19,MATCH(CW2,AA8:AA19,0),2),0)</f>
        <v>0</v>
      </c>
      <c r="CW2" s="387">
        <f>MONTHLY!U3</f>
        <v>0</v>
      </c>
      <c r="CY2" t="s">
        <v>323</v>
      </c>
      <c r="CZ2" t="s">
        <v>324</v>
      </c>
      <c r="DE2" t="s">
        <v>323</v>
      </c>
      <c r="DF2" t="s">
        <v>325</v>
      </c>
      <c r="DL2" t="s">
        <v>323</v>
      </c>
      <c r="DM2" t="s">
        <v>326</v>
      </c>
      <c r="DR2" t="s">
        <v>323</v>
      </c>
      <c r="DS2" t="s">
        <v>327</v>
      </c>
      <c r="DY2" t="s">
        <v>323</v>
      </c>
      <c r="DZ2" t="s">
        <v>328</v>
      </c>
      <c r="EE2" t="s">
        <v>323</v>
      </c>
      <c r="EF2" t="s">
        <v>329</v>
      </c>
    </row>
    <row r="3" spans="1:139" hidden="1" x14ac:dyDescent="0.25">
      <c r="AE3">
        <f ca="1">IF(I5&gt;=1,80/I5,0)</f>
        <v>0</v>
      </c>
      <c r="CT3" t="s">
        <v>334</v>
      </c>
      <c r="CU3" t="s">
        <v>331</v>
      </c>
      <c r="CV3">
        <f>IF(LEN(CW2)&gt;=2,VLOOKUP(CW2,PROFILE!H4:AF15,24,0)*1,0)</f>
        <v>0</v>
      </c>
      <c r="CW3">
        <f>LEN(CW2)</f>
        <v>1</v>
      </c>
      <c r="CY3" t="s">
        <v>330</v>
      </c>
      <c r="DA3" t="s">
        <v>337</v>
      </c>
    </row>
    <row r="4" spans="1:139" ht="23.25" customHeight="1" x14ac:dyDescent="0.25">
      <c r="G4">
        <v>41</v>
      </c>
      <c r="H4">
        <v>41</v>
      </c>
      <c r="I4">
        <v>42</v>
      </c>
      <c r="J4">
        <v>42</v>
      </c>
      <c r="K4">
        <v>43</v>
      </c>
      <c r="L4">
        <v>43</v>
      </c>
      <c r="M4">
        <v>44</v>
      </c>
      <c r="N4">
        <v>44</v>
      </c>
      <c r="O4">
        <v>45</v>
      </c>
      <c r="P4">
        <v>45</v>
      </c>
      <c r="AB4">
        <v>1</v>
      </c>
      <c r="AE4">
        <v>2</v>
      </c>
      <c r="AH4">
        <v>3</v>
      </c>
      <c r="AK4">
        <v>4</v>
      </c>
      <c r="AN4">
        <v>5</v>
      </c>
      <c r="AQ4">
        <v>16</v>
      </c>
      <c r="BI4">
        <v>22</v>
      </c>
      <c r="BN4">
        <v>11.5</v>
      </c>
      <c r="BY4">
        <v>22</v>
      </c>
      <c r="CD4">
        <v>8</v>
      </c>
      <c r="CG4">
        <v>2</v>
      </c>
      <c r="CJ4">
        <v>3.5</v>
      </c>
      <c r="CM4">
        <v>1</v>
      </c>
      <c r="CP4">
        <v>3.5</v>
      </c>
      <c r="CT4" t="s">
        <v>333</v>
      </c>
      <c r="CU4" t="s">
        <v>332</v>
      </c>
      <c r="CY4" s="1225" t="str">
        <f>IF(LEN($CW$2)&gt;=5,VLOOKUP($CW$2,PARCHAGE!$F$6:$W$17,CY$1,0),"")</f>
        <v/>
      </c>
      <c r="CZ4" s="1225"/>
      <c r="DA4" s="1225"/>
      <c r="DB4" s="1225"/>
      <c r="DC4" s="1225"/>
      <c r="DD4" s="370"/>
      <c r="DE4" s="1225" t="str">
        <f>IF(LEN($CW$2)&gt;=5,VLOOKUP($CW$2,PARCHAGE!$F$6:$W$17,DE$1,0),"")</f>
        <v/>
      </c>
      <c r="DF4" s="1225"/>
      <c r="DG4" s="1225"/>
      <c r="DH4" s="1225"/>
      <c r="DI4" s="1225"/>
      <c r="DJ4" s="395"/>
      <c r="DK4" s="395"/>
      <c r="DL4" s="1225" t="str">
        <f>IF(LEN($CW$2)&gt;=5,VLOOKUP($CW$2,PARCHAGE!$F$6:$W$17,DL$1,0),"")</f>
        <v/>
      </c>
      <c r="DM4" s="1225"/>
      <c r="DN4" s="1225"/>
      <c r="DO4" s="1225"/>
      <c r="DP4" s="1225"/>
      <c r="DQ4" s="370"/>
      <c r="DR4" s="1225" t="str">
        <f>IF(LEN($CW$2)&gt;=5,VLOOKUP($CW$2,PARCHAGE!$F$6:$W$17,DR$1,0),"")</f>
        <v/>
      </c>
      <c r="DS4" s="1225"/>
      <c r="DT4" s="1225"/>
      <c r="DU4" s="1225"/>
      <c r="DV4" s="1225"/>
      <c r="DW4" s="370"/>
      <c r="DX4" s="370"/>
      <c r="DY4" s="1225" t="str">
        <f>IF(LEN($CW$2)&gt;=5,VLOOKUP($CW$2,PARCHAGE!$F$6:$W$17,DY$1,0),"")</f>
        <v/>
      </c>
      <c r="DZ4" s="1225"/>
      <c r="EA4" s="1225"/>
      <c r="EB4" s="1225"/>
      <c r="EC4" s="1225"/>
      <c r="ED4" s="395"/>
      <c r="EE4" s="1225" t="str">
        <f>IF(LEN($CW$2)&gt;=5,VLOOKUP($CW$2,PARCHAGE!$F$6:$W$17,EE$1,0),"")</f>
        <v/>
      </c>
      <c r="EF4" s="1225"/>
      <c r="EG4" s="1225"/>
      <c r="EH4" s="1225"/>
      <c r="EI4" s="1225"/>
    </row>
    <row r="5" spans="1:139" ht="18" customHeight="1" x14ac:dyDescent="0.35">
      <c r="G5">
        <v>8</v>
      </c>
      <c r="H5">
        <v>9</v>
      </c>
      <c r="I5">
        <f ca="1">IFERROR(IF($Z8&gt;=1,INDEX(DALLY!$N$10:$KZ$54,38,MATCH($AA8,DALLY!$N$10:$KZ$10,0)+2),0),0)</f>
        <v>0</v>
      </c>
      <c r="J5">
        <f ca="1">IF(I5&gt;=1,(I5*(I5+1)/2),0)</f>
        <v>0</v>
      </c>
      <c r="Z5" s="1237" t="s">
        <v>69</v>
      </c>
      <c r="AA5" s="1237" t="s">
        <v>162</v>
      </c>
      <c r="AB5" s="1239" t="s">
        <v>291</v>
      </c>
      <c r="AC5" s="1240"/>
      <c r="AD5" s="1240"/>
      <c r="AE5" s="1240"/>
      <c r="AF5" s="1240"/>
      <c r="AG5" s="1240"/>
      <c r="AH5" s="1240"/>
      <c r="AI5" s="1240"/>
      <c r="AJ5" s="1240"/>
      <c r="AK5" s="1240"/>
      <c r="AL5" s="1240"/>
      <c r="AM5" s="1240"/>
      <c r="AN5" s="1240"/>
      <c r="AO5" s="1240"/>
      <c r="AP5" s="1240"/>
      <c r="AQ5" s="1240"/>
      <c r="AR5" s="1240"/>
      <c r="AS5" s="1240"/>
      <c r="AT5" s="1240"/>
      <c r="AU5" s="1240"/>
      <c r="AV5" s="1240"/>
      <c r="AW5" s="1240"/>
      <c r="AX5" s="1240"/>
      <c r="AY5" s="1240"/>
      <c r="AZ5" s="1240"/>
      <c r="BA5" s="1240"/>
      <c r="BB5" s="1240"/>
      <c r="BC5" s="1240"/>
      <c r="BD5" s="1240"/>
      <c r="BE5" s="1240"/>
      <c r="BF5" s="1240"/>
      <c r="BG5" s="1240"/>
      <c r="BH5" s="1240"/>
      <c r="BI5" s="1240"/>
      <c r="BJ5" s="1240"/>
      <c r="BK5" s="1240"/>
      <c r="BL5" s="1240"/>
      <c r="BM5" s="1240"/>
      <c r="BN5" s="1240"/>
      <c r="BO5" s="1240"/>
      <c r="BP5" s="1240"/>
      <c r="BQ5" s="1240"/>
      <c r="BR5" s="1240"/>
      <c r="BS5" s="1240"/>
      <c r="BT5" s="1240"/>
      <c r="BU5" s="1240"/>
      <c r="BV5" s="1240"/>
      <c r="BW5" s="1240"/>
      <c r="BX5" s="1240"/>
      <c r="BY5" s="1240"/>
      <c r="BZ5" s="1240"/>
      <c r="CA5" s="1240"/>
      <c r="CB5" s="1240"/>
      <c r="CC5" s="1240"/>
      <c r="CD5" s="1240"/>
      <c r="CE5" s="1240"/>
      <c r="CF5" s="1240"/>
      <c r="CG5" s="1240"/>
      <c r="CH5" s="1240"/>
      <c r="CI5" s="1240"/>
      <c r="CJ5" s="1240"/>
      <c r="CK5" s="1240"/>
      <c r="CL5" s="1240"/>
      <c r="CM5" s="1240"/>
      <c r="CN5" s="1240"/>
      <c r="CO5" s="1240"/>
      <c r="CP5" s="1240"/>
      <c r="CQ5" s="1240"/>
      <c r="CR5" s="1240"/>
      <c r="CS5" s="1240"/>
      <c r="CT5" s="1240"/>
      <c r="CU5" s="1228" t="s">
        <v>1</v>
      </c>
      <c r="CV5" s="1228"/>
      <c r="CW5" s="1228"/>
      <c r="CY5" s="1226" t="str">
        <f>IF(LEN($CW$2)&gt;=5,VLOOKUP($CW$2,PARCHAGE!$F$6:$W$17,CZ$1,0),"")</f>
        <v/>
      </c>
      <c r="CZ5" s="1226"/>
      <c r="DA5" s="1226"/>
      <c r="DB5" s="1226"/>
      <c r="DC5" s="1226"/>
      <c r="DD5" s="370"/>
      <c r="DE5" s="1226" t="str">
        <f>IF(LEN($CW$2)&gt;=5,VLOOKUP($CW$2,PARCHAGE!$F$6:$W$17,DF$1,0),"")</f>
        <v/>
      </c>
      <c r="DF5" s="1226"/>
      <c r="DG5" s="1226"/>
      <c r="DH5" s="1226"/>
      <c r="DI5" s="1226"/>
      <c r="DJ5" s="395"/>
      <c r="DK5" s="395"/>
      <c r="DL5" s="1226" t="str">
        <f>IF(LEN($CW$2)&gt;=5,VLOOKUP($CW$2,PARCHAGE!$F$6:$W$17,DM$1,0),"")</f>
        <v/>
      </c>
      <c r="DM5" s="1226"/>
      <c r="DN5" s="1226"/>
      <c r="DO5" s="1226"/>
      <c r="DP5" s="1226"/>
      <c r="DQ5" s="370"/>
      <c r="DR5" s="1226" t="str">
        <f>IF(LEN($CW$2)&gt;=5,VLOOKUP($CW$2,PARCHAGE!$F$6:$W$17,DS$1,0),"")</f>
        <v/>
      </c>
      <c r="DS5" s="1226"/>
      <c r="DT5" s="1226"/>
      <c r="DU5" s="1226"/>
      <c r="DV5" s="1226"/>
      <c r="DW5" s="370"/>
      <c r="DX5" s="370"/>
      <c r="DY5" s="1226" t="str">
        <f>IF(LEN($CW$2)&gt;=5,VLOOKUP($CW$2,PARCHAGE!$F$6:$W$17,DZ$1,0),"")</f>
        <v/>
      </c>
      <c r="DZ5" s="1226"/>
      <c r="EA5" s="1226"/>
      <c r="EB5" s="1226"/>
      <c r="EC5" s="1226"/>
      <c r="ED5" s="395"/>
      <c r="EE5" s="1226" t="str">
        <f>IF(LEN($CW$2)&gt;=5,VLOOKUP($CW$2,PARCHAGE!$F$6:$W$17,EF$1,0),"")</f>
        <v/>
      </c>
      <c r="EF5" s="1226"/>
      <c r="EG5" s="1226"/>
      <c r="EH5" s="1226"/>
      <c r="EI5" s="1226"/>
    </row>
    <row r="6" spans="1:139" ht="18" customHeight="1" x14ac:dyDescent="0.3">
      <c r="A6" s="1227" t="s">
        <v>120</v>
      </c>
      <c r="B6" s="1227"/>
      <c r="C6" s="1227" t="s">
        <v>20</v>
      </c>
      <c r="D6" s="1227"/>
      <c r="E6" s="1227" t="s">
        <v>301</v>
      </c>
      <c r="F6" s="1227"/>
      <c r="G6" s="1227" t="s">
        <v>277</v>
      </c>
      <c r="H6" s="1227"/>
      <c r="I6" s="1227" t="s">
        <v>277</v>
      </c>
      <c r="J6" s="1227"/>
      <c r="K6" s="1227" t="s">
        <v>277</v>
      </c>
      <c r="L6" s="1227"/>
      <c r="M6" s="1227" t="s">
        <v>277</v>
      </c>
      <c r="N6" s="1227"/>
      <c r="O6" s="1227" t="s">
        <v>277</v>
      </c>
      <c r="P6" s="1227"/>
      <c r="Q6" s="368"/>
      <c r="R6" s="368"/>
      <c r="S6" s="368"/>
      <c r="T6" s="368"/>
      <c r="U6" s="368"/>
      <c r="V6" s="383"/>
      <c r="W6" s="383"/>
      <c r="X6" s="383"/>
      <c r="Z6" s="1237"/>
      <c r="AA6" s="1237"/>
      <c r="AB6" s="1229" t="s">
        <v>293</v>
      </c>
      <c r="AC6" s="1229"/>
      <c r="AD6" s="1229"/>
      <c r="AE6" s="1229" t="s">
        <v>294</v>
      </c>
      <c r="AF6" s="1229"/>
      <c r="AG6" s="1229"/>
      <c r="AH6" s="1229" t="s">
        <v>295</v>
      </c>
      <c r="AI6" s="1229"/>
      <c r="AJ6" s="1229"/>
      <c r="AK6" s="1229" t="s">
        <v>296</v>
      </c>
      <c r="AL6" s="1229"/>
      <c r="AM6" s="1229"/>
      <c r="AN6" s="1229" t="s">
        <v>297</v>
      </c>
      <c r="AO6" s="1229"/>
      <c r="AP6" s="1229"/>
      <c r="AQ6" s="1234" t="s">
        <v>1</v>
      </c>
      <c r="AR6" s="1235"/>
      <c r="AS6" s="1236"/>
      <c r="AT6" s="1229" t="s">
        <v>305</v>
      </c>
      <c r="AU6" s="1229"/>
      <c r="AV6" s="1229"/>
      <c r="AW6" s="1229" t="s">
        <v>306</v>
      </c>
      <c r="AX6" s="1229"/>
      <c r="AY6" s="1229"/>
      <c r="AZ6" s="1229" t="s">
        <v>307</v>
      </c>
      <c r="BA6" s="1229"/>
      <c r="BB6" s="1229"/>
      <c r="BC6" s="1229" t="s">
        <v>303</v>
      </c>
      <c r="BD6" s="1229"/>
      <c r="BE6" s="1229"/>
      <c r="BF6" s="1229" t="s">
        <v>304</v>
      </c>
      <c r="BG6" s="1229"/>
      <c r="BH6" s="1229"/>
      <c r="BI6" s="1234" t="s">
        <v>1</v>
      </c>
      <c r="BJ6" s="1235"/>
      <c r="BK6" s="1236"/>
      <c r="BL6" s="1229" t="s">
        <v>280</v>
      </c>
      <c r="BM6" s="1229"/>
      <c r="BN6" s="1229"/>
      <c r="BO6" s="1229" t="s">
        <v>281</v>
      </c>
      <c r="BP6" s="1229"/>
      <c r="BQ6" s="1229"/>
      <c r="BR6" s="1229" t="s">
        <v>282</v>
      </c>
      <c r="BS6" s="1229"/>
      <c r="BT6" s="1229"/>
      <c r="BU6" s="1229" t="s">
        <v>283</v>
      </c>
      <c r="BV6" s="1229"/>
      <c r="BW6" s="1229"/>
      <c r="BX6" s="1231" t="s">
        <v>1</v>
      </c>
      <c r="BY6" s="1232"/>
      <c r="BZ6" s="1232"/>
      <c r="CA6" s="1233"/>
      <c r="CB6" s="1229" t="s">
        <v>284</v>
      </c>
      <c r="CC6" s="1229"/>
      <c r="CD6" s="1229"/>
      <c r="CE6" s="1229" t="s">
        <v>285</v>
      </c>
      <c r="CF6" s="1229"/>
      <c r="CG6" s="1229"/>
      <c r="CH6" s="1229" t="s">
        <v>286</v>
      </c>
      <c r="CI6" s="1229"/>
      <c r="CJ6" s="1229"/>
      <c r="CK6" s="1229" t="s">
        <v>287</v>
      </c>
      <c r="CL6" s="1229"/>
      <c r="CM6" s="1229"/>
      <c r="CN6" s="1229" t="s">
        <v>308</v>
      </c>
      <c r="CO6" s="1229"/>
      <c r="CP6" s="1229"/>
      <c r="CQ6" s="1229" t="s">
        <v>288</v>
      </c>
      <c r="CR6" s="1229"/>
      <c r="CS6" s="1229"/>
      <c r="CT6" s="1230" t="s">
        <v>289</v>
      </c>
      <c r="CU6" s="1228"/>
      <c r="CV6" s="1228"/>
      <c r="CW6" s="1228"/>
      <c r="CY6" s="381" t="s">
        <v>311</v>
      </c>
      <c r="CZ6" s="382"/>
      <c r="DA6" s="382"/>
      <c r="DB6" s="381" t="s">
        <v>312</v>
      </c>
      <c r="DC6" s="382"/>
      <c r="DD6" s="382"/>
      <c r="DE6" s="381" t="s">
        <v>311</v>
      </c>
      <c r="DF6" s="382"/>
      <c r="DG6" s="382"/>
      <c r="DH6" s="381" t="s">
        <v>312</v>
      </c>
      <c r="DI6" s="382"/>
      <c r="DJ6" s="382"/>
      <c r="DK6" s="382"/>
      <c r="DL6" s="381" t="s">
        <v>311</v>
      </c>
      <c r="DM6" s="382"/>
      <c r="DN6" s="382"/>
      <c r="DO6" s="381" t="s">
        <v>312</v>
      </c>
      <c r="DP6" s="370"/>
      <c r="DQ6" s="370"/>
      <c r="DR6" s="381" t="s">
        <v>311</v>
      </c>
      <c r="DS6" s="382"/>
      <c r="DT6" s="382"/>
      <c r="DU6" s="381" t="s">
        <v>312</v>
      </c>
      <c r="DV6" s="382"/>
      <c r="DW6" s="382"/>
      <c r="DX6" s="382"/>
      <c r="DY6" s="381" t="s">
        <v>311</v>
      </c>
      <c r="DZ6" s="382"/>
      <c r="EA6" s="382"/>
      <c r="EB6" s="381" t="s">
        <v>312</v>
      </c>
      <c r="EC6" s="382"/>
      <c r="ED6" s="382"/>
      <c r="EE6" s="381" t="s">
        <v>311</v>
      </c>
      <c r="EF6" s="382"/>
      <c r="EG6" s="382"/>
      <c r="EH6" s="381" t="s">
        <v>312</v>
      </c>
      <c r="EI6" s="370"/>
    </row>
    <row r="7" spans="1:139" ht="18" customHeight="1" thickBot="1" x14ac:dyDescent="0.3">
      <c r="A7" s="367">
        <v>5</v>
      </c>
      <c r="B7" s="367">
        <v>8</v>
      </c>
      <c r="C7" s="367">
        <v>5</v>
      </c>
      <c r="D7" s="367">
        <v>8</v>
      </c>
      <c r="E7" s="367">
        <v>5</v>
      </c>
      <c r="F7" s="367">
        <v>8</v>
      </c>
      <c r="G7" s="367">
        <v>5</v>
      </c>
      <c r="H7" s="367">
        <v>8</v>
      </c>
      <c r="I7" s="367">
        <v>5</v>
      </c>
      <c r="J7" s="367">
        <v>8</v>
      </c>
      <c r="K7" s="367">
        <v>5</v>
      </c>
      <c r="L7" s="367">
        <v>8</v>
      </c>
      <c r="M7" s="367">
        <v>5</v>
      </c>
      <c r="N7" s="367">
        <v>8</v>
      </c>
      <c r="O7" s="367">
        <v>5</v>
      </c>
      <c r="P7" s="367">
        <v>8</v>
      </c>
      <c r="Q7" s="368"/>
      <c r="R7" s="368"/>
      <c r="S7" s="368"/>
      <c r="T7" s="368"/>
      <c r="U7" s="368"/>
      <c r="V7" s="383"/>
      <c r="W7" s="383"/>
      <c r="X7" s="383"/>
      <c r="Z7" s="1238"/>
      <c r="AA7" s="1238"/>
      <c r="AB7" s="360" t="s">
        <v>290</v>
      </c>
      <c r="AC7" s="360" t="s">
        <v>278</v>
      </c>
      <c r="AD7" s="360" t="s">
        <v>279</v>
      </c>
      <c r="AE7" s="360" t="s">
        <v>290</v>
      </c>
      <c r="AF7" s="360" t="s">
        <v>278</v>
      </c>
      <c r="AG7" s="360" t="s">
        <v>279</v>
      </c>
      <c r="AH7" s="360" t="s">
        <v>290</v>
      </c>
      <c r="AI7" s="360" t="s">
        <v>278</v>
      </c>
      <c r="AJ7" s="360" t="s">
        <v>279</v>
      </c>
      <c r="AK7" s="360" t="s">
        <v>290</v>
      </c>
      <c r="AL7" s="360" t="s">
        <v>278</v>
      </c>
      <c r="AM7" s="360" t="s">
        <v>279</v>
      </c>
      <c r="AN7" s="360" t="s">
        <v>290</v>
      </c>
      <c r="AO7" s="360" t="s">
        <v>278</v>
      </c>
      <c r="AP7" s="360" t="s">
        <v>279</v>
      </c>
      <c r="AQ7" s="365" t="s">
        <v>298</v>
      </c>
      <c r="AR7" s="366" t="s">
        <v>299</v>
      </c>
      <c r="AS7" s="366" t="s">
        <v>300</v>
      </c>
      <c r="AT7" s="360" t="s">
        <v>290</v>
      </c>
      <c r="AU7" s="360" t="s">
        <v>278</v>
      </c>
      <c r="AV7" s="360" t="s">
        <v>279</v>
      </c>
      <c r="AW7" s="360" t="s">
        <v>290</v>
      </c>
      <c r="AX7" s="360" t="s">
        <v>278</v>
      </c>
      <c r="AY7" s="360" t="s">
        <v>279</v>
      </c>
      <c r="AZ7" s="360" t="s">
        <v>290</v>
      </c>
      <c r="BA7" s="360" t="s">
        <v>278</v>
      </c>
      <c r="BB7" s="360" t="s">
        <v>279</v>
      </c>
      <c r="BC7" s="360" t="s">
        <v>290</v>
      </c>
      <c r="BD7" s="360" t="s">
        <v>278</v>
      </c>
      <c r="BE7" s="360" t="s">
        <v>279</v>
      </c>
      <c r="BF7" s="360" t="s">
        <v>290</v>
      </c>
      <c r="BG7" s="360" t="s">
        <v>278</v>
      </c>
      <c r="BH7" s="360" t="s">
        <v>279</v>
      </c>
      <c r="BI7" s="365" t="s">
        <v>298</v>
      </c>
      <c r="BJ7" s="366" t="s">
        <v>299</v>
      </c>
      <c r="BK7" s="366" t="s">
        <v>300</v>
      </c>
      <c r="BL7" s="360" t="s">
        <v>290</v>
      </c>
      <c r="BM7" s="360" t="s">
        <v>278</v>
      </c>
      <c r="BN7" s="360" t="s">
        <v>279</v>
      </c>
      <c r="BO7" s="360" t="s">
        <v>290</v>
      </c>
      <c r="BP7" s="360" t="s">
        <v>278</v>
      </c>
      <c r="BQ7" s="360" t="s">
        <v>279</v>
      </c>
      <c r="BR7" s="360" t="s">
        <v>290</v>
      </c>
      <c r="BS7" s="360" t="s">
        <v>278</v>
      </c>
      <c r="BT7" s="360" t="s">
        <v>279</v>
      </c>
      <c r="BU7" s="360" t="s">
        <v>290</v>
      </c>
      <c r="BV7" s="360" t="s">
        <v>278</v>
      </c>
      <c r="BW7" s="360" t="s">
        <v>279</v>
      </c>
      <c r="BX7" s="360" t="s">
        <v>20</v>
      </c>
      <c r="BY7" s="365" t="s">
        <v>298</v>
      </c>
      <c r="BZ7" s="366" t="s">
        <v>299</v>
      </c>
      <c r="CA7" s="366" t="s">
        <v>300</v>
      </c>
      <c r="CB7" s="360" t="s">
        <v>290</v>
      </c>
      <c r="CC7" s="360" t="s">
        <v>278</v>
      </c>
      <c r="CD7" s="360" t="s">
        <v>279</v>
      </c>
      <c r="CE7" s="360" t="s">
        <v>290</v>
      </c>
      <c r="CF7" s="360" t="s">
        <v>278</v>
      </c>
      <c r="CG7" s="360" t="s">
        <v>279</v>
      </c>
      <c r="CH7" s="360" t="s">
        <v>290</v>
      </c>
      <c r="CI7" s="360" t="s">
        <v>278</v>
      </c>
      <c r="CJ7" s="360" t="s">
        <v>279</v>
      </c>
      <c r="CK7" s="360" t="s">
        <v>290</v>
      </c>
      <c r="CL7" s="360" t="s">
        <v>278</v>
      </c>
      <c r="CM7" s="360" t="s">
        <v>279</v>
      </c>
      <c r="CN7" s="360" t="s">
        <v>290</v>
      </c>
      <c r="CO7" s="360" t="s">
        <v>278</v>
      </c>
      <c r="CP7" s="360" t="s">
        <v>279</v>
      </c>
      <c r="CQ7" s="360" t="s">
        <v>290</v>
      </c>
      <c r="CR7" s="360" t="s">
        <v>278</v>
      </c>
      <c r="CS7" s="360" t="s">
        <v>279</v>
      </c>
      <c r="CT7" s="1230"/>
      <c r="CU7" s="365" t="s">
        <v>298</v>
      </c>
      <c r="CV7" s="366" t="s">
        <v>299</v>
      </c>
      <c r="CW7" s="366" t="s">
        <v>300</v>
      </c>
      <c r="CY7" s="1219" t="str">
        <f>IF(LEN($CW$2)&gt;=5,CONCATENATE(CY2,$CW$2,CZ2),"")</f>
        <v/>
      </c>
      <c r="CZ7" s="1219"/>
      <c r="DA7" s="1219"/>
      <c r="DB7" s="1219"/>
      <c r="DC7" s="1219"/>
      <c r="DD7" s="370"/>
      <c r="DE7" s="1219" t="str">
        <f>IF(LEN($CW$2)&gt;=5,CONCATENATE(DE2,$CW$2,DF2),"")</f>
        <v/>
      </c>
      <c r="DF7" s="1219"/>
      <c r="DG7" s="1219"/>
      <c r="DH7" s="1219"/>
      <c r="DI7" s="1219"/>
      <c r="DJ7" s="395"/>
      <c r="DK7" s="395"/>
      <c r="DL7" s="1219" t="str">
        <f>IF(LEN($CW$2)&gt;=5,CONCATENATE(DL2,$CW$2,DM2),"")</f>
        <v/>
      </c>
      <c r="DM7" s="1219"/>
      <c r="DN7" s="1219"/>
      <c r="DO7" s="1219"/>
      <c r="DP7" s="1219"/>
      <c r="DQ7" s="370"/>
      <c r="DR7" s="1219" t="str">
        <f>IF(LEN($CW$2)&gt;=5,CONCATENATE(DR2,$CW$2,DS2),"")</f>
        <v/>
      </c>
      <c r="DS7" s="1219"/>
      <c r="DT7" s="1219"/>
      <c r="DU7" s="1219"/>
      <c r="DV7" s="1219"/>
      <c r="DW7" s="370"/>
      <c r="DX7" s="370"/>
      <c r="DY7" s="1219" t="str">
        <f>IF(LEN($CW$2)&gt;=5,CONCATENATE(DY2,$CW$2,DZ2),"")</f>
        <v/>
      </c>
      <c r="DZ7" s="1219"/>
      <c r="EA7" s="1219"/>
      <c r="EB7" s="1219"/>
      <c r="EC7" s="1219"/>
      <c r="ED7" s="395"/>
      <c r="EE7" s="1219" t="str">
        <f>IF(LEN($CW$2)&gt;=5,CONCATENATE(EE2,$CW$2,EF2),"")</f>
        <v/>
      </c>
      <c r="EF7" s="1219"/>
      <c r="EG7" s="1219"/>
      <c r="EH7" s="1219"/>
      <c r="EI7" s="1219"/>
    </row>
    <row r="8" spans="1:139" ht="16.5" customHeight="1" x14ac:dyDescent="0.25">
      <c r="A8" s="383">
        <f ca="1">STUDENT!AC9</f>
        <v>0</v>
      </c>
      <c r="B8" s="383">
        <f ca="1">STUDENT!AD9</f>
        <v>0</v>
      </c>
      <c r="C8" s="383">
        <f ca="1">IFERROR(IF($Z8&gt;=1,INDEX(DALLY!$N$10:$KZ$54,40,MATCH($AA8,DALLY!$N$10:$KZ$10,0)+7),0),0)</f>
        <v>0</v>
      </c>
      <c r="D8" s="383">
        <f ca="1">IFERROR(IF($Z8&gt;=1,INDEX(DALLY!$N$10:$KZ$54,40,MATCH($AA8,DALLY!$N$10:$KZ$10,0)+8),0),0)</f>
        <v>0</v>
      </c>
      <c r="E8" s="383">
        <f ca="1">IFERROR(IF($Z8&gt;=1,INDEX(DALLY!$N$10:$KZ$54,39,MATCH($AA8,DALLY!$N$10:$KZ$10,0)+7),0),0)</f>
        <v>0</v>
      </c>
      <c r="F8" s="383">
        <f ca="1">IFERROR(IF($Z8&gt;=1,INDEX(DALLY!$N$10:$KZ$54,39,MATCH($AA8,DALLY!$N$10:$KZ$10,0)+8),0),0)</f>
        <v>0</v>
      </c>
      <c r="G8" s="383">
        <f ca="1">IFERROR(IF($Z8&gt;=1,INDEX(DALLY!$N$10:$KZ$54,G$4,MATCH($AA8,DALLY!$N$10:$KZ$10,0)+$G$5),0),0)</f>
        <v>0</v>
      </c>
      <c r="H8" s="383">
        <f ca="1">IFERROR(IF($Z8&gt;=1,INDEX(DALLY!$N$10:$KZ$54,H$4,MATCH($AA8,DALLY!$N$10:$KZ$10,0)+$H$5),0),0)</f>
        <v>0</v>
      </c>
      <c r="I8" s="383">
        <f ca="1">IFERROR(IF($Z8&gt;=1,INDEX(DALLY!$N$10:$KZ$54,I$4,MATCH($AA8,DALLY!$N$10:$KZ$10,0)+$G$5),0),0)</f>
        <v>0</v>
      </c>
      <c r="J8" s="383">
        <f ca="1">IFERROR(IF($Z8&gt;=1,INDEX(DALLY!$N$10:$KZ$54,J$4,MATCH($AA8,DALLY!$N$10:$KZ$10,0)+$H$5),0),0)</f>
        <v>0</v>
      </c>
      <c r="K8" s="383">
        <f ca="1">IFERROR(IF($Z8&gt;=1,INDEX(DALLY!$N$10:$KZ$54,K$4,MATCH($AA8,DALLY!$N$10:$KZ$10,0)+$G$5),0),0)</f>
        <v>0</v>
      </c>
      <c r="L8" s="383">
        <f ca="1">IFERROR(IF($Z8&gt;=1,INDEX(DALLY!$N$10:$KZ$54,L$4,MATCH($AA8,DALLY!$N$10:$KZ$10,0)+$H$5),0),0)</f>
        <v>0</v>
      </c>
      <c r="M8" s="383">
        <f ca="1">IFERROR(IF($Z8&gt;=1,INDEX(DALLY!$N$10:$KZ$54,M$4,MATCH($AA8,DALLY!$N$10:$KZ$10,0)+$G$5),0),0)</f>
        <v>0</v>
      </c>
      <c r="N8" s="383">
        <f ca="1">IFERROR(IF($Z8&gt;=1,INDEX(DALLY!$N$10:$KZ$54,N$4,MATCH($AA8,DALLY!$N$10:$KZ$10,0)+$H$5),0),0)</f>
        <v>0</v>
      </c>
      <c r="O8" s="383">
        <f ca="1">IFERROR(IF($Z8&gt;=1,INDEX(DALLY!$N$10:$KZ$54,O$4,MATCH($AA8,DALLY!$N$10:$KZ$10,0)+$G$5),0),0)</f>
        <v>0</v>
      </c>
      <c r="P8" s="383">
        <f ca="1">IFERROR(IF($Z8&gt;=1,INDEX(DALLY!$N$10:$KZ$54,P$4,MATCH($AA8,DALLY!$N$10:$KZ$10,0)+$H$5),0),0)</f>
        <v>0</v>
      </c>
      <c r="Q8" s="383">
        <f>HOME!L7-HOME!N7</f>
        <v>1.2699999999999996</v>
      </c>
      <c r="R8" s="383">
        <f>HOME!M7-HOME!O7</f>
        <v>1.9100000000000001</v>
      </c>
      <c r="S8" s="383">
        <f ca="1">ROUND((E8*50+F8*75)/1000,1)</f>
        <v>0</v>
      </c>
      <c r="T8" s="394">
        <f ca="1">AR8+BJ8+BN8+BZ8+CD8+CG8+CJ8+CM8+CS8+CT8</f>
        <v>0</v>
      </c>
      <c r="U8" s="383">
        <f ca="1">SUM(G8:P8)</f>
        <v>0</v>
      </c>
      <c r="V8" s="383">
        <f ca="1">IFERROR(IF($Z8&gt;=1,INDEX(DALLY!$N$10:$KZ$54,38,MATCH($AA8,DALLY!$N$10:$KZ$10,0)+2),0),0)</f>
        <v>0</v>
      </c>
      <c r="W8" s="383">
        <f ca="1">IF(V8&gt;=1,(V8*(V8+1)/2),0)</f>
        <v>0</v>
      </c>
      <c r="Z8" s="294">
        <f ca="1">PROFILE!G4</f>
        <v>1</v>
      </c>
      <c r="AA8" s="44" t="str">
        <f>PROFILE!H4</f>
        <v>मई 2019</v>
      </c>
      <c r="AB8" s="363">
        <f ca="1">IF($Z8&gt;=1,(IF($V8&gt;=1,G8*0.1+H8*0.15,0)),0)</f>
        <v>0</v>
      </c>
      <c r="AC8" s="369">
        <f ca="1">IF(AB8&gt;0,ROUNDUP(AD8/AB8,0),0)</f>
        <v>0</v>
      </c>
      <c r="AD8" s="361">
        <f ca="1">IF($Z8&gt;=1,(IF($V8&gt;=AB$4,ROUND((($AQ8*$AE$3/100)+(($AQ8/5)/$W8*AB$4)),0),0)),0)</f>
        <v>0</v>
      </c>
      <c r="AE8" s="363">
        <f ca="1">IF($Z8&gt;=1,(IF($V8&gt;=1,I8*0.1+J8*0.15,0)),0)</f>
        <v>0</v>
      </c>
      <c r="AF8" s="369">
        <f t="shared" ref="AF8" ca="1" si="0">IF(AE8&gt;0,ROUNDUP(AG8/AE8,0),0)</f>
        <v>0</v>
      </c>
      <c r="AG8" s="361">
        <f t="shared" ref="AG8" ca="1" si="1">IF($Z8&gt;=1,(IF($V8&gt;=AE$4,ROUND((($AQ8*$AE$3/100)+(($AQ8/5)/$W8*AE$4)),0),0)),0)</f>
        <v>0</v>
      </c>
      <c r="AH8" s="363">
        <f ca="1">IF($Z8&gt;=1,(IF($V8&gt;=1,K8*0.1+L8*0.15,0)),0)</f>
        <v>0</v>
      </c>
      <c r="AI8" s="369">
        <f t="shared" ref="AI8" ca="1" si="2">IF(AH8&gt;0,ROUNDUP(AJ8/AH8,0),0)</f>
        <v>0</v>
      </c>
      <c r="AJ8" s="361">
        <f t="shared" ref="AJ8" ca="1" si="3">IF($Z8&gt;=1,(IF($V8&gt;=AH$4,ROUND((($AQ8*$AE$3/100)+(($AQ8/5)/$W8*AH$4)),0),0)),0)</f>
        <v>0</v>
      </c>
      <c r="AK8" s="363">
        <f ca="1">IF($Z8&gt;=1,(IF($V8&gt;=1,M8*0.1+N8*0.15,0)),0)</f>
        <v>0</v>
      </c>
      <c r="AL8" s="369">
        <f t="shared" ref="AL8" ca="1" si="4">IF(AK8&gt;0,ROUNDUP(AM8/AK8,0),0)</f>
        <v>0</v>
      </c>
      <c r="AM8" s="361">
        <f t="shared" ref="AM8" ca="1" si="5">IF($Z8&gt;=1,(IF($V8&gt;=AK$4,ROUND((($AQ8*$AE$3/100)+(($AQ8/5)/$W8*AK$4)),0),0)),0)</f>
        <v>0</v>
      </c>
      <c r="AN8" s="363">
        <f ca="1">IF($Z8&gt;=1,(IF($V8&gt;=1,O8*0.1+P8*0.15,0)),0)</f>
        <v>0</v>
      </c>
      <c r="AO8" s="369">
        <f t="shared" ref="AO8" ca="1" si="6">IF(AN8&gt;0,ROUNDUP(AP8/AN8,0),0)</f>
        <v>0</v>
      </c>
      <c r="AP8" s="361">
        <f t="shared" ref="AP8" ca="1" si="7">IF($Z8&gt;=1,(IF($V8&gt;=AN$4,ROUND((($AQ8*$AE$3/100)+(($AQ8/5)/$W8*AN$4)),0),0)),0)</f>
        <v>0</v>
      </c>
      <c r="AQ8" s="369">
        <f ca="1">IF($Z8&gt;=1,ROUND($CU8*AQ$4/100,0),0)</f>
        <v>0</v>
      </c>
      <c r="AR8" s="361">
        <f ca="1">AD8+AG8+AJ8+AM8+AP8</f>
        <v>0</v>
      </c>
      <c r="AS8" s="369">
        <f ca="1">AQ8-AR8</f>
        <v>0</v>
      </c>
      <c r="AT8" s="363">
        <f ca="1">IFERROR(ROUND(S8*40/100,1),0)</f>
        <v>0</v>
      </c>
      <c r="AU8" s="369">
        <f ca="1">IF(AT8&gt;0,ROUNDUP(AV8/AT8,1),0)</f>
        <v>0</v>
      </c>
      <c r="AV8" s="361">
        <f ca="1">IF(BI8&gt;=1,ROUND(BI8*3/10,0),0)</f>
        <v>0</v>
      </c>
      <c r="AW8" s="363">
        <f ca="1">IFERROR(ROUND(S8*20/100,1),0)</f>
        <v>0</v>
      </c>
      <c r="AX8" s="369">
        <f ca="1">IF(AW8&gt;0,ROUNDUP(AY8/AW8,1),0)</f>
        <v>0</v>
      </c>
      <c r="AY8" s="361">
        <f ca="1">IF(BI8&gt;=1,ROUND(BI8*2.5/10,0),0)</f>
        <v>0</v>
      </c>
      <c r="AZ8" s="363">
        <f ca="1">IFERROR(ROUND(S8*25/100,1),0)</f>
        <v>0</v>
      </c>
      <c r="BA8" s="369">
        <f ca="1">IF(AZ8&gt;0,ROUNDUP(BB8/AZ8,1),0)</f>
        <v>0</v>
      </c>
      <c r="BB8" s="361">
        <f ca="1">IF(BI8&gt;=1,ROUND(BI8*2.5/10,0),0)</f>
        <v>0</v>
      </c>
      <c r="BC8" s="363">
        <f ca="1">IFERROR(ROUND(S8*10/100,1),0)</f>
        <v>0</v>
      </c>
      <c r="BD8" s="369">
        <f ca="1">IF(BC8&gt;0,ROUNDUP(BE8/BC8,1),0)</f>
        <v>0</v>
      </c>
      <c r="BE8" s="361">
        <f ca="1">IF(BI8&gt;=1,ROUND(BI8/10,0),0)</f>
        <v>0</v>
      </c>
      <c r="BF8" s="363">
        <f ca="1">IFERROR(ROUND(S8*5/100,1),0)</f>
        <v>0</v>
      </c>
      <c r="BG8" s="369">
        <f ca="1">IF(BF8&gt;0,ROUNDUP(BH8/BF8,1),0)</f>
        <v>0</v>
      </c>
      <c r="BH8" s="369">
        <f ca="1">BI8-AV8-AY8-BB8-BE8</f>
        <v>0</v>
      </c>
      <c r="BI8" s="369">
        <f ca="1">IF($Z8&gt;=1,ROUND($CU8*BI$4/100,0),0)</f>
        <v>0</v>
      </c>
      <c r="BJ8" s="369">
        <f ca="1">AV8+AY8+BB8+BE8+BH8</f>
        <v>0</v>
      </c>
      <c r="BK8" s="369">
        <f ca="1">BI8-BJ8</f>
        <v>0</v>
      </c>
      <c r="BL8" s="361">
        <f ca="1">IFERROR(ROUND((($A8*5)+($B8*7.5))/1000,1),0)</f>
        <v>0</v>
      </c>
      <c r="BM8" s="369">
        <f ca="1">IF(BL8&gt;0,ROUNDUP(BN8/BL8,1),0)</f>
        <v>0</v>
      </c>
      <c r="BN8" s="369">
        <f ca="1">IF($Z8&gt;=1,ROUND($CU8*BN$4/100,0),0)</f>
        <v>0</v>
      </c>
      <c r="BO8" s="363">
        <f ca="1">IF($Z8&gt;=1,ROUND(($C8*HOME!P7+$D8*HOME!T7)/1000,1),0)</f>
        <v>0</v>
      </c>
      <c r="BP8" s="369">
        <f ca="1">IF(BO8&gt;0,ROUNDUP(BQ8/BO8,1),0)</f>
        <v>0</v>
      </c>
      <c r="BQ8" s="369">
        <f ca="1">IF(BY8&gt;=1,ROUND(BY8*35/100,0),0)</f>
        <v>0</v>
      </c>
      <c r="BR8" s="363">
        <f ca="1">IF($Z8&gt;=1,ROUND(($C8*HOME!Q7+$D8*HOME!U7)/1000,1),0)</f>
        <v>0</v>
      </c>
      <c r="BS8" s="369">
        <f ca="1">IF(BR8&gt;0,ROUNDUP(BT8/BR8,1),0)</f>
        <v>0</v>
      </c>
      <c r="BT8" s="369">
        <f ca="1">IF(BY8&gt;=1,ROUND(BY8*35/100,0),0)</f>
        <v>0</v>
      </c>
      <c r="BU8" s="363">
        <f ca="1">IF($Z8&gt;=1,ROUND(($C8*HOME!R7+$D8*HOME!V7)/1000,1),0)</f>
        <v>0</v>
      </c>
      <c r="BV8" s="369">
        <f ca="1">IF(BU8&gt;0,ROUNDUP(BW8/BU8,1),0)</f>
        <v>0</v>
      </c>
      <c r="BW8" s="369">
        <f ca="1">BY8-BQ8-BT8</f>
        <v>0</v>
      </c>
      <c r="BX8" s="363">
        <f ca="1">BO8+BR8+BU8</f>
        <v>0</v>
      </c>
      <c r="BY8" s="369">
        <f ca="1">IF($Z8&gt;=1,ROUND($CU8*BY$4/100,0),0)</f>
        <v>0</v>
      </c>
      <c r="BZ8" s="369">
        <f ca="1">BQ8+BT8+BW8</f>
        <v>0</v>
      </c>
      <c r="CA8" s="369">
        <f ca="1">BY8-BZ8</f>
        <v>0</v>
      </c>
      <c r="CB8" s="361">
        <f ca="1">IFERROR(ROUND((($A8*2)+($B8*3))/1000,1),0)</f>
        <v>0</v>
      </c>
      <c r="CC8" s="369">
        <f ca="1">IF(CB8&gt;0,ROUNDUP(CD8/CB8,0),0)</f>
        <v>0</v>
      </c>
      <c r="CD8" s="369">
        <f ca="1">IF($Z8&gt;=1,ROUND($CU8*CD$4/100,0),0)</f>
        <v>0</v>
      </c>
      <c r="CE8" s="361">
        <f ca="1">IFERROR(ROUND((($A8*0.5)+($B8*0.75))/1000,1),0)</f>
        <v>0</v>
      </c>
      <c r="CF8" s="369">
        <f ca="1">IF(CE8&gt;0,ROUNDUP(CG8/CE8,0),0)</f>
        <v>0</v>
      </c>
      <c r="CG8" s="369">
        <f ca="1">IF($Z8&gt;=1,ROUND($CU8*CG$4/100,0),0)</f>
        <v>0</v>
      </c>
      <c r="CH8" s="361">
        <f ca="1">IFERROR(ROUND((($A8*2)+($B8*3))/1000,1),0)</f>
        <v>0</v>
      </c>
      <c r="CI8" s="369">
        <f ca="1">IF(CH8&gt;0,ROUNDUP(CJ8/CH8,0),0)</f>
        <v>0</v>
      </c>
      <c r="CJ8" s="369">
        <f ca="1">IF($Z8&gt;=1,ROUND($CU8*CJ$4/100,0),0)</f>
        <v>0</v>
      </c>
      <c r="CK8" s="361">
        <f ca="1">IFERROR(ROUND((($A8*2)+($B8*3))/1000,1),0)</f>
        <v>0</v>
      </c>
      <c r="CL8" s="369">
        <f ca="1">IF(CK8&gt;0,ROUNDUP(CM8/CK8,0),0)</f>
        <v>0</v>
      </c>
      <c r="CM8" s="369">
        <f ca="1">IF($Z8&gt;=1,ROUND($CU8*CM$4/100,0),0)</f>
        <v>0</v>
      </c>
      <c r="CN8" s="361">
        <f ca="1">IFERROR(ROUND((($A8*0.5)+($B8*0.75))/1000,1),0)</f>
        <v>0</v>
      </c>
      <c r="CO8" s="369">
        <f ca="1">IF(CN8&gt;0,ROUNDUP(CP8/CN8,0),0)</f>
        <v>0</v>
      </c>
      <c r="CP8" s="369">
        <f ca="1">IF($Z8&gt;=1,ROUND($CU8*CP$4/100,0),0)</f>
        <v>0</v>
      </c>
      <c r="CQ8" s="363">
        <f ca="1">DATA!AH8+DATA!AJ8</f>
        <v>0</v>
      </c>
      <c r="CR8" s="361">
        <v>2</v>
      </c>
      <c r="CS8" s="361">
        <f ca="1">IFERROR(ROUNDDOWN(CQ8*CR8,0),0)</f>
        <v>0</v>
      </c>
      <c r="CT8" s="362">
        <f ca="1">CU8-CV8</f>
        <v>0</v>
      </c>
      <c r="CU8" s="362">
        <f ca="1">PAYMENT!AP8</f>
        <v>0</v>
      </c>
      <c r="CV8" s="362">
        <f ca="1">AR8+BJ8+BN8+BZ8+CD8+CG8+CJ8+CM8+CP8+CS8</f>
        <v>0</v>
      </c>
      <c r="CY8" s="373" t="s">
        <v>40</v>
      </c>
      <c r="CZ8" s="374" t="s">
        <v>309</v>
      </c>
      <c r="DA8" s="374" t="s">
        <v>310</v>
      </c>
      <c r="DB8" s="374" t="s">
        <v>278</v>
      </c>
      <c r="DC8" s="375" t="s">
        <v>279</v>
      </c>
      <c r="DD8" s="370"/>
      <c r="DE8" s="373" t="s">
        <v>40</v>
      </c>
      <c r="DF8" s="374" t="s">
        <v>309</v>
      </c>
      <c r="DG8" s="374" t="s">
        <v>310</v>
      </c>
      <c r="DH8" s="374" t="s">
        <v>278</v>
      </c>
      <c r="DI8" s="375" t="s">
        <v>279</v>
      </c>
      <c r="DJ8" s="378"/>
      <c r="DK8" s="378"/>
      <c r="DL8" s="373" t="s">
        <v>40</v>
      </c>
      <c r="DM8" s="374" t="s">
        <v>309</v>
      </c>
      <c r="DN8" s="374" t="s">
        <v>310</v>
      </c>
      <c r="DO8" s="374" t="s">
        <v>278</v>
      </c>
      <c r="DP8" s="375" t="s">
        <v>279</v>
      </c>
      <c r="DQ8" s="370"/>
      <c r="DR8" s="373" t="s">
        <v>40</v>
      </c>
      <c r="DS8" s="374" t="s">
        <v>309</v>
      </c>
      <c r="DT8" s="374" t="s">
        <v>310</v>
      </c>
      <c r="DU8" s="374" t="s">
        <v>278</v>
      </c>
      <c r="DV8" s="375" t="s">
        <v>279</v>
      </c>
      <c r="DW8" s="370"/>
      <c r="DX8" s="370"/>
      <c r="DY8" s="373" t="s">
        <v>40</v>
      </c>
      <c r="DZ8" s="374" t="s">
        <v>309</v>
      </c>
      <c r="EA8" s="374" t="s">
        <v>310</v>
      </c>
      <c r="EB8" s="374" t="s">
        <v>278</v>
      </c>
      <c r="EC8" s="375" t="s">
        <v>279</v>
      </c>
      <c r="ED8" s="370"/>
      <c r="EE8" s="373" t="s">
        <v>40</v>
      </c>
      <c r="EF8" s="374" t="s">
        <v>309</v>
      </c>
      <c r="EG8" s="374" t="s">
        <v>310</v>
      </c>
      <c r="EH8" s="374" t="s">
        <v>278</v>
      </c>
      <c r="EI8" s="375" t="s">
        <v>279</v>
      </c>
    </row>
    <row r="9" spans="1:139" ht="24.95" customHeight="1" x14ac:dyDescent="0.25">
      <c r="A9" s="383">
        <f ca="1">STUDENT!AC10</f>
        <v>0</v>
      </c>
      <c r="B9" s="383">
        <f ca="1">STUDENT!AD10</f>
        <v>0</v>
      </c>
      <c r="C9" s="383">
        <f ca="1">IFERROR(IF($Z9&gt;=1,INDEX(DALLY!$N$10:$KZ$54,40,MATCH($AA9,DALLY!$N$10:$KZ$10,0)+7),0),0)</f>
        <v>0</v>
      </c>
      <c r="D9" s="383">
        <f ca="1">IFERROR(IF($Z9&gt;=1,INDEX(DALLY!$N$10:$KZ$54,40,MATCH($AA9,DALLY!$N$10:$KZ$10,0)+8),0),0)</f>
        <v>0</v>
      </c>
      <c r="E9" s="383">
        <f ca="1">IFERROR(IF($Z9&gt;=1,INDEX(DALLY!$N$10:$KZ$54,39,MATCH($AA9,DALLY!$N$10:$KZ$10,0)+7),0),0)</f>
        <v>0</v>
      </c>
      <c r="F9" s="383">
        <f ca="1">IFERROR(IF($Z9&gt;=1,INDEX(DALLY!$N$10:$KZ$54,39,MATCH($AA9,DALLY!$N$10:$KZ$10,0)+8),0),0)</f>
        <v>0</v>
      </c>
      <c r="G9" s="383">
        <f ca="1">IFERROR(IF($Z9&gt;=1,INDEX(DALLY!$N$10:$KZ$54,G$4,MATCH($AA9,DALLY!$N$10:$KZ$10,0)+$G$5),0),0)</f>
        <v>0</v>
      </c>
      <c r="H9" s="383">
        <f ca="1">IFERROR(IF($Z9&gt;=1,INDEX(DALLY!$N$10:$KZ$54,H$4,MATCH($AA9,DALLY!$N$10:$KZ$10,0)+$H$5),0),0)</f>
        <v>0</v>
      </c>
      <c r="I9" s="383">
        <f ca="1">IFERROR(IF($Z9&gt;=1,INDEX(DALLY!$N$10:$KZ$54,I$4,MATCH($AA9,DALLY!$N$10:$KZ$10,0)+$G$5),0),0)</f>
        <v>0</v>
      </c>
      <c r="J9" s="383">
        <f ca="1">IFERROR(IF($Z9&gt;=1,INDEX(DALLY!$N$10:$KZ$54,J$4,MATCH($AA9,DALLY!$N$10:$KZ$10,0)+$H$5),0),0)</f>
        <v>0</v>
      </c>
      <c r="K9" s="383">
        <f ca="1">IFERROR(IF($Z9&gt;=1,INDEX(DALLY!$N$10:$KZ$54,K$4,MATCH($AA9,DALLY!$N$10:$KZ$10,0)+$G$5),0),0)</f>
        <v>0</v>
      </c>
      <c r="L9" s="383">
        <f ca="1">IFERROR(IF($Z9&gt;=1,INDEX(DALLY!$N$10:$KZ$54,L$4,MATCH($AA9,DALLY!$N$10:$KZ$10,0)+$H$5),0),0)</f>
        <v>0</v>
      </c>
      <c r="M9" s="383">
        <f ca="1">IFERROR(IF($Z9&gt;=1,INDEX(DALLY!$N$10:$KZ$54,M$4,MATCH($AA9,DALLY!$N$10:$KZ$10,0)+$G$5),0),0)</f>
        <v>0</v>
      </c>
      <c r="N9" s="383">
        <f ca="1">IFERROR(IF($Z9&gt;=1,INDEX(DALLY!$N$10:$KZ$54,N$4,MATCH($AA9,DALLY!$N$10:$KZ$10,0)+$H$5),0),0)</f>
        <v>0</v>
      </c>
      <c r="O9" s="383">
        <f ca="1">IFERROR(IF($Z9&gt;=1,INDEX(DALLY!$N$10:$KZ$54,O$4,MATCH($AA9,DALLY!$N$10:$KZ$10,0)+$G$5),0),0)</f>
        <v>0</v>
      </c>
      <c r="P9" s="383">
        <f ca="1">IFERROR(IF($Z9&gt;=1,INDEX(DALLY!$N$10:$KZ$54,P$4,MATCH($AA9,DALLY!$N$10:$KZ$10,0)+$H$5),0),0)</f>
        <v>0</v>
      </c>
      <c r="Q9" s="383">
        <f>HOME!L8-HOME!N8</f>
        <v>1.2699999999999996</v>
      </c>
      <c r="R9" s="383">
        <f>HOME!M8-HOME!O8</f>
        <v>1.9100000000000001</v>
      </c>
      <c r="S9" s="383">
        <f t="shared" ref="S9:S19" ca="1" si="8">ROUND((E9*50+F9*75)/1000,1)</f>
        <v>0</v>
      </c>
      <c r="T9" s="394">
        <f t="shared" ref="T9:T19" ca="1" si="9">AR9+BJ9+BN9+BZ9+CD9+CG9+CJ9+CM9+CS9+CT9</f>
        <v>0</v>
      </c>
      <c r="U9" s="383">
        <f t="shared" ref="U9:U19" ca="1" si="10">SUM(G9:P9)</f>
        <v>0</v>
      </c>
      <c r="V9" s="383">
        <f ca="1">IFERROR(IF($Z9&gt;=1,INDEX(DALLY!$N$10:$KZ$54,38,MATCH($AA9,DALLY!$N$10:$KZ$10,0)+2),0),0)</f>
        <v>0</v>
      </c>
      <c r="W9" s="383">
        <f t="shared" ref="W9:W19" ca="1" si="11">IF(V9&gt;=1,(V9*(V9+1)/2),0)</f>
        <v>0</v>
      </c>
      <c r="Z9" s="364">
        <f ca="1">PROFILE!G5</f>
        <v>2</v>
      </c>
      <c r="AA9" s="44" t="str">
        <f>PROFILE!H5</f>
        <v>जून 2019</v>
      </c>
      <c r="AB9" s="363">
        <f t="shared" ref="AB9:AB19" ca="1" si="12">IF($Z9&gt;=1,(IF($V9&gt;=1,G9*0.1+H9*0.15,0)),0)</f>
        <v>0</v>
      </c>
      <c r="AC9" s="369">
        <f t="shared" ref="AC9:AC19" ca="1" si="13">IF(AB9&gt;0,ROUNDUP(AD9/AB9,0),0)</f>
        <v>0</v>
      </c>
      <c r="AD9" s="361">
        <f t="shared" ref="AD9:AD19" ca="1" si="14">IF($Z9&gt;=1,(IF($V9&gt;=AB$4,ROUND((($AQ9*$AE$3/100)+(($AQ9/5)/$W9*AB$4)),0),0)),0)</f>
        <v>0</v>
      </c>
      <c r="AE9" s="363">
        <f t="shared" ref="AE9:AE19" ca="1" si="15">IF($Z9&gt;=1,(IF($V9&gt;=1,I9*0.1+J9*0.15,0)),0)</f>
        <v>0</v>
      </c>
      <c r="AF9" s="369">
        <f t="shared" ref="AF9" ca="1" si="16">IF(AE9&gt;0,ROUNDUP(AG9/AE9,0),0)</f>
        <v>0</v>
      </c>
      <c r="AG9" s="361">
        <f t="shared" ref="AG9:AG19" ca="1" si="17">IF($Z9&gt;=1,(IF($V9&gt;=AE$4,ROUND((($AQ9*$AE$3/100)+(($AQ9/5)/$W9*AE$4)),0),0)),0)</f>
        <v>0</v>
      </c>
      <c r="AH9" s="363">
        <f t="shared" ref="AH9:AH19" ca="1" si="18">IF($Z9&gt;=1,(IF($V9&gt;=1,K9*0.1+L9*0.15,0)),0)</f>
        <v>0</v>
      </c>
      <c r="AI9" s="369">
        <f t="shared" ref="AI9" ca="1" si="19">IF(AH9&gt;0,ROUNDUP(AJ9/AH9,0),0)</f>
        <v>0</v>
      </c>
      <c r="AJ9" s="361">
        <f t="shared" ref="AJ9:AJ19" ca="1" si="20">IF($Z9&gt;=1,(IF($V9&gt;=AH$4,ROUND((($AQ9*$AE$3/100)+(($AQ9/5)/$W9*AH$4)),0),0)),0)</f>
        <v>0</v>
      </c>
      <c r="AK9" s="363">
        <f t="shared" ref="AK9:AK19" ca="1" si="21">IF($Z9&gt;=1,(IF($V9&gt;=1,M9*0.1+N9*0.15,0)),0)</f>
        <v>0</v>
      </c>
      <c r="AL9" s="369">
        <f t="shared" ref="AL9" ca="1" si="22">IF(AK9&gt;0,ROUNDUP(AM9/AK9,0),0)</f>
        <v>0</v>
      </c>
      <c r="AM9" s="361">
        <f t="shared" ref="AM9:AM19" ca="1" si="23">IF($Z9&gt;=1,(IF($V9&gt;=AK$4,ROUND((($AQ9*$AE$3/100)+(($AQ9/5)/$W9*AK$4)),0),0)),0)</f>
        <v>0</v>
      </c>
      <c r="AN9" s="363">
        <f t="shared" ref="AN9:AN19" ca="1" si="24">IF($Z9&gt;=1,(IF($V9&gt;=1,O9*0.1+P9*0.15,0)),0)</f>
        <v>0</v>
      </c>
      <c r="AO9" s="369">
        <f t="shared" ref="AO9" ca="1" si="25">IF(AN9&gt;0,ROUNDUP(AP9/AN9,0),0)</f>
        <v>0</v>
      </c>
      <c r="AP9" s="361">
        <f t="shared" ref="AP9:AP19" ca="1" si="26">IF($Z9&gt;=1,(IF($V9&gt;=AN$4,ROUND((($AQ9*$AE$3/100)+(($AQ9/5)/$W9*AN$4)),0),0)),0)</f>
        <v>0</v>
      </c>
      <c r="AQ9" s="369">
        <f t="shared" ref="AQ9:AQ19" ca="1" si="27">IF($Z9&gt;=1,ROUND($CU9*AQ$4/100,0),0)</f>
        <v>0</v>
      </c>
      <c r="AR9" s="361">
        <f t="shared" ref="AR9:AR19" ca="1" si="28">AD9+AG9+AJ9+AM9+AP9</f>
        <v>0</v>
      </c>
      <c r="AS9" s="369">
        <f t="shared" ref="AS9:AS19" ca="1" si="29">AQ9-AR9</f>
        <v>0</v>
      </c>
      <c r="AT9" s="363">
        <f t="shared" ref="AT9:AT19" ca="1" si="30">IFERROR(ROUND(S9*40/100,1),0)</f>
        <v>0</v>
      </c>
      <c r="AU9" s="369">
        <f t="shared" ref="AU9:AU19" ca="1" si="31">IF(AT9&gt;0,ROUNDUP(AV9/AT9,1),0)</f>
        <v>0</v>
      </c>
      <c r="AV9" s="361">
        <f t="shared" ref="AV9:AV19" ca="1" si="32">IF(BI9&gt;=1,ROUND(BI9*3/10,0),0)</f>
        <v>0</v>
      </c>
      <c r="AW9" s="363">
        <f t="shared" ref="AW9:AW19" ca="1" si="33">IFERROR(ROUND(S9*20/100,1),0)</f>
        <v>0</v>
      </c>
      <c r="AX9" s="369">
        <f t="shared" ref="AX9:AX19" ca="1" si="34">IF(AW9&gt;0,ROUNDUP(AY9/AW9,1),0)</f>
        <v>0</v>
      </c>
      <c r="AY9" s="361">
        <f t="shared" ref="AY9:AY19" ca="1" si="35">IF(BI9&gt;=1,ROUND(BI9*2.5/10,0),0)</f>
        <v>0</v>
      </c>
      <c r="AZ9" s="363">
        <f t="shared" ref="AZ9:AZ19" ca="1" si="36">IFERROR(ROUND(S9*25/100,1),0)</f>
        <v>0</v>
      </c>
      <c r="BA9" s="369">
        <f t="shared" ref="BA9:BA19" ca="1" si="37">IF(AZ9&gt;0,ROUNDUP(BB9/AZ9,1),0)</f>
        <v>0</v>
      </c>
      <c r="BB9" s="361">
        <f t="shared" ref="BB9:BB19" ca="1" si="38">IF(BI9&gt;=1,ROUND(BI9*2.5/10,0),0)</f>
        <v>0</v>
      </c>
      <c r="BC9" s="363">
        <f t="shared" ref="BC9:BC19" ca="1" si="39">IFERROR(ROUND(S9*10/100,1),0)</f>
        <v>0</v>
      </c>
      <c r="BD9" s="369">
        <f t="shared" ref="BD9:BD19" ca="1" si="40">IF(BC9&gt;0,ROUNDUP(BE9/BC9,1),0)</f>
        <v>0</v>
      </c>
      <c r="BE9" s="361">
        <f t="shared" ref="BE9:BE19" ca="1" si="41">IF(BI9&gt;=1,ROUND(BI9/10,0),0)</f>
        <v>0</v>
      </c>
      <c r="BF9" s="363">
        <f t="shared" ref="BF9:BF19" ca="1" si="42">IFERROR(ROUND(S9*5/100,1),0)</f>
        <v>0</v>
      </c>
      <c r="BG9" s="369">
        <f t="shared" ref="BG9:BG19" ca="1" si="43">IF(BF9&gt;0,ROUNDUP(BH9/BF9,1),0)</f>
        <v>0</v>
      </c>
      <c r="BH9" s="369">
        <f t="shared" ref="BH9:BH19" ca="1" si="44">BI9-AV9-AY9-BB9-BE9</f>
        <v>0</v>
      </c>
      <c r="BI9" s="369">
        <f t="shared" ref="BI9:BI19" ca="1" si="45">IF($Z9&gt;=1,ROUND($CU9*BI$4/100,0),0)</f>
        <v>0</v>
      </c>
      <c r="BJ9" s="369">
        <f t="shared" ref="BJ9:BJ19" ca="1" si="46">AV9+AY9+BB9+BE9+BH9</f>
        <v>0</v>
      </c>
      <c r="BK9" s="369">
        <f t="shared" ref="BK9:BK19" ca="1" si="47">BI9-BJ9</f>
        <v>0</v>
      </c>
      <c r="BL9" s="361">
        <f t="shared" ref="BL9:BL19" ca="1" si="48">IFERROR(ROUND((($A9*5)+($B9*7.5))/1000,1),0)</f>
        <v>0</v>
      </c>
      <c r="BM9" s="369">
        <f t="shared" ref="BM9:BM19" ca="1" si="49">IF(BL9&gt;0,ROUNDUP(BN9/BL9,1),0)</f>
        <v>0</v>
      </c>
      <c r="BN9" s="369">
        <f t="shared" ref="BN9:BN19" ca="1" si="50">IF($Z9&gt;=1,ROUND($CU9*BN$4/100,0),0)</f>
        <v>0</v>
      </c>
      <c r="BO9" s="363">
        <f ca="1">IF($Z9&gt;=1,ROUND(($C9*HOME!P8+$D9*HOME!T8)/1000,1),0)</f>
        <v>0</v>
      </c>
      <c r="BP9" s="369">
        <f t="shared" ref="BP9:BP19" ca="1" si="51">IF(BO9&gt;0,ROUNDUP(BQ9/BO9,1),0)</f>
        <v>0</v>
      </c>
      <c r="BQ9" s="369">
        <f t="shared" ref="BQ9:BQ19" ca="1" si="52">IF(BY9&gt;=1,ROUND(BY9*35/100,0),0)</f>
        <v>0</v>
      </c>
      <c r="BR9" s="363">
        <f ca="1">IF($Z9&gt;=1,ROUND(($C9*HOME!Q8+$D9*HOME!U8)/1000,1),0)</f>
        <v>0</v>
      </c>
      <c r="BS9" s="369">
        <f t="shared" ref="BS9:BS19" ca="1" si="53">IF(BR9&gt;0,ROUNDUP(BT9/BR9,1),0)</f>
        <v>0</v>
      </c>
      <c r="BT9" s="369">
        <f t="shared" ref="BT9:BT19" ca="1" si="54">IF(BY9&gt;=1,ROUND(BY9*35/100,0),0)</f>
        <v>0</v>
      </c>
      <c r="BU9" s="363">
        <f ca="1">IF($Z9&gt;=1,ROUND(($C9*HOME!R8+$D9*HOME!V8)/1000,1),0)</f>
        <v>0</v>
      </c>
      <c r="BV9" s="369">
        <f t="shared" ref="BV9:BV19" ca="1" si="55">IF(BU9&gt;0,ROUNDUP(BW9/BU9,1),0)</f>
        <v>0</v>
      </c>
      <c r="BW9" s="369">
        <f t="shared" ref="BW9:BW19" ca="1" si="56">BY9-BQ9-BT9</f>
        <v>0</v>
      </c>
      <c r="BX9" s="363">
        <f t="shared" ref="BX9:BX19" ca="1" si="57">BO9+BR9+BU9</f>
        <v>0</v>
      </c>
      <c r="BY9" s="369">
        <f t="shared" ref="BY9:BY19" ca="1" si="58">IF($Z9&gt;=1,ROUND($CU9*BY$4/100,0),0)</f>
        <v>0</v>
      </c>
      <c r="BZ9" s="369">
        <f t="shared" ref="BZ9:BZ19" ca="1" si="59">BQ9+BT9+BW9</f>
        <v>0</v>
      </c>
      <c r="CA9" s="369">
        <f t="shared" ref="CA9:CA19" ca="1" si="60">BY9-BZ9</f>
        <v>0</v>
      </c>
      <c r="CB9" s="361">
        <f t="shared" ref="CB9:CB19" ca="1" si="61">IFERROR(ROUND((($A9*2)+($B9*3))/1000,1),0)</f>
        <v>0</v>
      </c>
      <c r="CC9" s="369">
        <f t="shared" ref="CC9:CC19" ca="1" si="62">IF(CB9&gt;0,ROUNDUP(CD9/CB9,0),0)</f>
        <v>0</v>
      </c>
      <c r="CD9" s="369">
        <f t="shared" ref="CD9:CD19" ca="1" si="63">IF($Z9&gt;=1,ROUND($CU9*CD$4/100,0),0)</f>
        <v>0</v>
      </c>
      <c r="CE9" s="361">
        <f t="shared" ref="CE9:CE19" ca="1" si="64">IFERROR(ROUND((($A9*0.5)+($B9*0.75))/1000,1),0)</f>
        <v>0</v>
      </c>
      <c r="CF9" s="369">
        <f t="shared" ref="CF9:CF19" ca="1" si="65">IF(CE9&gt;0,ROUNDUP(CG9/CE9,0),0)</f>
        <v>0</v>
      </c>
      <c r="CG9" s="369">
        <f t="shared" ref="CG9:CG19" ca="1" si="66">IF($Z9&gt;=1,ROUND($CU9*CG$4/100,0),0)</f>
        <v>0</v>
      </c>
      <c r="CH9" s="361">
        <f t="shared" ref="CH9:CH19" ca="1" si="67">IFERROR(ROUND((($A9*2)+($B9*3))/1000,1),0)</f>
        <v>0</v>
      </c>
      <c r="CI9" s="369">
        <f t="shared" ref="CI9:CI19" ca="1" si="68">IF(CH9&gt;0,ROUNDUP(CJ9/CH9,0),0)</f>
        <v>0</v>
      </c>
      <c r="CJ9" s="369">
        <f t="shared" ref="CJ9:CJ19" ca="1" si="69">IF($Z9&gt;=1,ROUND($CU9*CJ$4/100,0),0)</f>
        <v>0</v>
      </c>
      <c r="CK9" s="361">
        <f t="shared" ref="CK9:CK19" ca="1" si="70">IFERROR(ROUND((($A9*2)+($B9*3))/1000,1),0)</f>
        <v>0</v>
      </c>
      <c r="CL9" s="369">
        <f t="shared" ref="CL9:CL19" ca="1" si="71">IF(CK9&gt;0,ROUNDUP(CM9/CK9,0),0)</f>
        <v>0</v>
      </c>
      <c r="CM9" s="369">
        <f t="shared" ref="CM9:CM19" ca="1" si="72">IF($Z9&gt;=1,ROUND($CU9*CM$4/100,0),0)</f>
        <v>0</v>
      </c>
      <c r="CN9" s="361">
        <f t="shared" ref="CN9:CN19" ca="1" si="73">IFERROR(ROUND((($A9*0.5)+($B9*0.75))/1000,1),0)</f>
        <v>0</v>
      </c>
      <c r="CO9" s="369">
        <f t="shared" ref="CO9:CO19" ca="1" si="74">IF(CN9&gt;0,ROUNDUP(CP9/CN9,0),0)</f>
        <v>0</v>
      </c>
      <c r="CP9" s="369">
        <f t="shared" ref="CP9:CP19" ca="1" si="75">IF($Z9&gt;=1,ROUND($CU9*CP$4/100,0),0)</f>
        <v>0</v>
      </c>
      <c r="CQ9" s="363">
        <f ca="1">DATA!AH9+DATA!AJ9</f>
        <v>0</v>
      </c>
      <c r="CR9" s="361">
        <v>2</v>
      </c>
      <c r="CS9" s="361">
        <f t="shared" ref="CS9:CS19" ca="1" si="76">IFERROR(ROUNDDOWN(CQ9*CR9,0),0)</f>
        <v>0</v>
      </c>
      <c r="CT9" s="362">
        <f t="shared" ref="CT9:CT19" ca="1" si="77">CU9-CV9</f>
        <v>0</v>
      </c>
      <c r="CU9" s="362">
        <f ca="1">PAYMENT!AP9</f>
        <v>0</v>
      </c>
      <c r="CV9" s="362">
        <f t="shared" ref="CV9:CV19" ca="1" si="78">AR9+BJ9+BN9+BZ9+CD9+CG9+CJ9+CM9+CP9+CS9</f>
        <v>0</v>
      </c>
      <c r="CY9" s="388">
        <f>IF($CW$3&gt;=5,(IF(LEN(CZ9)&gt;=2,1,0)),0)</f>
        <v>0</v>
      </c>
      <c r="CZ9" s="391" t="str">
        <f>IF($CW$3&gt;=5,BO$6,"")</f>
        <v/>
      </c>
      <c r="DA9" s="392">
        <f>IFERROR(IF(CY9&gt;=1,INDEX($AA$8:$CT$19,MATCH($CW$2,$AA$8:$AA$19,0),MATCH(CZ9,$AA$6:$CT$6,0)),0),0)</f>
        <v>0</v>
      </c>
      <c r="DB9" s="390">
        <f>IFERROR(IF(CY9&gt;=1,INDEX($AA$8:$CT$19,MATCH($CW$2,$AA$8:$AA$19,0),MATCH(CZ9,$AA$6:$CT$6,0)+1),0),0)</f>
        <v>0</v>
      </c>
      <c r="DC9" s="393">
        <f>IFERROR(IF(CY9&gt;=1,INDEX($AA$8:$CT$19,MATCH($CW$2,$AA$8:$AA$19,0),MATCH(CZ9,$AA$6:$CT$6,0)+2),0),0)</f>
        <v>0</v>
      </c>
      <c r="DD9" s="370"/>
      <c r="DE9" s="388">
        <f>IF($CW$3&gt;=5,(IF(LEN(DF9)&gt;=2,1,0)),0)</f>
        <v>0</v>
      </c>
      <c r="DF9" s="391" t="str">
        <f>IF($CW$3&gt;=5,(IF($CT$2&gt;=1,VLOOKUP($CW$2,PARCHAGE!$F$6:$W$17,6,0),"")),"")</f>
        <v/>
      </c>
      <c r="DG9" s="392">
        <f>IFERROR(IF(DE9&gt;=1,INDEX($AA$8:$CT$19,MATCH($CW$2,$AA$8:$AA$19,0),2),0),0)</f>
        <v>0</v>
      </c>
      <c r="DH9" s="390">
        <f>IFERROR(IF(DE9&gt;=1,INDEX($AA$8:$CT$19,MATCH($CW$2,$AA$8:$AA$19,0),3),0),0)</f>
        <v>0</v>
      </c>
      <c r="DI9" s="393">
        <f>IFERROR(IF(DE9&gt;=1,INDEX($AA$8:$CT$19,MATCH($CW$2,$AA$8:$AA$19,0),4),0),0)</f>
        <v>0</v>
      </c>
      <c r="DJ9" s="379"/>
      <c r="DK9" s="379"/>
      <c r="DL9" s="388">
        <f>IF($CW$3&gt;=5,(IF(LEN(DM9)&gt;=2,1,0)),0)</f>
        <v>0</v>
      </c>
      <c r="DM9" s="391" t="str">
        <f>IF($CW$3&gt;=5,AT$6,"")</f>
        <v/>
      </c>
      <c r="DN9" s="392">
        <f>IFERROR(IF(DL9&gt;=1,INDEX($AA$8:$CT$19,MATCH($CW$2,$AA$8:$AA$19,0),MATCH(DM9,$AA$6:$CT$6,0)),0),0)</f>
        <v>0</v>
      </c>
      <c r="DO9" s="390">
        <f>IFERROR(IF(DL9&gt;=1,INDEX($AA$8:$CT$19,MATCH($CW$2,$AA$8:$AA$19,0),MATCH(DM9,$AA$6:$CT$6,0)+1),0),0)</f>
        <v>0</v>
      </c>
      <c r="DP9" s="393">
        <f>IFERROR(IF(DL9&gt;=1,INDEX($AA$8:$CT$19,MATCH($CW$2,$AA$8:$AA$19,0),MATCH(DM9,$AA$6:$CT$6,0)+2),0),0)</f>
        <v>0</v>
      </c>
      <c r="DQ9" s="370"/>
      <c r="DR9" s="388">
        <f>IF($CW$3&gt;=5,(IF(LEN(DS9)&gt;=2,1,0)),0)</f>
        <v>0</v>
      </c>
      <c r="DS9" s="391" t="str">
        <f>IF($CW$3&gt;=5,$CU$3,"")</f>
        <v/>
      </c>
      <c r="DT9" s="392">
        <f>IFERROR(IF(DR9&gt;=1,INDEX($AA$8:$CT$19,MATCH($CW$2,$AA$8:$AA$19,0),69),0),0)</f>
        <v>0</v>
      </c>
      <c r="DU9" s="390">
        <f>IFERROR(IF(DR9&gt;=1,INDEX($AA$8:$CT$19,MATCH($CW$2,$AA$8:$AA$19,0),70),0),0)</f>
        <v>0</v>
      </c>
      <c r="DV9" s="393">
        <f>IFERROR(IF(DR9&gt;=1,INDEX($AA$8:$CT$19,MATCH($CW$2,$AA$8:$AA$19,0),71),0),0)</f>
        <v>0</v>
      </c>
      <c r="DW9" s="370"/>
      <c r="DX9" s="370"/>
      <c r="DY9" s="388">
        <f>IF($CW$3&gt;=5,(IF(LEN(DZ9)&gt;=2,1,0)),0)</f>
        <v>0</v>
      </c>
      <c r="DZ9" s="391" t="str">
        <f>IF($CW$3&gt;=5,$CU$4,"")</f>
        <v/>
      </c>
      <c r="EA9" s="392">
        <f>IFERROR(IF(DY9&gt;=1,INDEX($AA$8:$CT$19,MATCH($CW$2,$AA$8:$AA$19,0),MATCH(DZ9,$AA$6:$CT$6,0)),0),0)</f>
        <v>0</v>
      </c>
      <c r="EB9" s="390">
        <f>IFERROR(IF(DY9&gt;=1,INDEX($AA$8:$CT$19,MATCH($CW$2,$AA$8:$AA$19,0),MATCH(DZ9,$AA$6:$CT$6,0)+1),0),0)</f>
        <v>0</v>
      </c>
      <c r="EC9" s="393">
        <f>IFERROR(IF(DY9&gt;=1,INDEX($AA$8:$CT$19,MATCH($CW$2,$AA$8:$AA$19,0),72),0),0)</f>
        <v>0</v>
      </c>
      <c r="ED9" s="379"/>
      <c r="EE9" s="388">
        <f>IF($CW$3&gt;=5,(IF(LEN(EF9)&gt;=2,1*1,0)),0)</f>
        <v>0</v>
      </c>
      <c r="EF9" s="396" t="str">
        <f>IF($CW$3&gt;=5,(IF(CV3&gt;=3,CT4,IF(CV3&gt;=1,CT3,""))),"")</f>
        <v/>
      </c>
      <c r="EG9" s="392">
        <f>IF(EE9&gt;=1,(IF(CV3&gt;=3,VLOOKUP($CW$2,DATA!$U$8:$AN$19,19,0),IF(CV3&gt;=1,VLOOKUP($CW$2,DATA!$U$8:$AN$19,18,0),0))),0)</f>
        <v>0</v>
      </c>
      <c r="EH9" s="372">
        <f>IF(EE9&gt;=1,(IF(CV3&gt;=1,VLOOKUP($CW$2,HOME!D7:AA18,23,0),0)),0)</f>
        <v>0</v>
      </c>
      <c r="EI9" s="393">
        <f>IF(EE9&gt;=1,EG9*EH9,0)</f>
        <v>0</v>
      </c>
    </row>
    <row r="10" spans="1:139" ht="24.95" customHeight="1" x14ac:dyDescent="0.25">
      <c r="A10" s="383">
        <f ca="1">STUDENT!AC11</f>
        <v>0</v>
      </c>
      <c r="B10" s="383">
        <f ca="1">STUDENT!AD11</f>
        <v>0</v>
      </c>
      <c r="C10" s="383">
        <f ca="1">IFERROR(IF($Z10&gt;=1,INDEX(DALLY!$N$10:$KZ$54,40,MATCH($AA10,DALLY!$N$10:$KZ$10,0)+7),0),0)</f>
        <v>0</v>
      </c>
      <c r="D10" s="383">
        <f ca="1">IFERROR(IF($Z10&gt;=1,INDEX(DALLY!$N$10:$KZ$54,40,MATCH($AA10,DALLY!$N$10:$KZ$10,0)+8),0),0)</f>
        <v>0</v>
      </c>
      <c r="E10" s="383">
        <f ca="1">IFERROR(IF($Z10&gt;=1,INDEX(DALLY!$N$10:$KZ$54,39,MATCH($AA10,DALLY!$N$10:$KZ$10,0)+7),0),0)</f>
        <v>0</v>
      </c>
      <c r="F10" s="383">
        <f ca="1">IFERROR(IF($Z10&gt;=1,INDEX(DALLY!$N$10:$KZ$54,39,MATCH($AA10,DALLY!$N$10:$KZ$10,0)+8),0),0)</f>
        <v>0</v>
      </c>
      <c r="G10" s="383">
        <f ca="1">IFERROR(IF($Z10&gt;=1,INDEX(DALLY!$N$10:$KZ$54,G$4,MATCH($AA10,DALLY!$N$10:$KZ$10,0)+$G$5),0),0)</f>
        <v>0</v>
      </c>
      <c r="H10" s="383">
        <f ca="1">IFERROR(IF($Z10&gt;=1,INDEX(DALLY!$N$10:$KZ$54,H$4,MATCH($AA10,DALLY!$N$10:$KZ$10,0)+$H$5),0),0)</f>
        <v>0</v>
      </c>
      <c r="I10" s="383">
        <f ca="1">IFERROR(IF($Z10&gt;=1,INDEX(DALLY!$N$10:$KZ$54,I$4,MATCH($AA10,DALLY!$N$10:$KZ$10,0)+$G$5),0),0)</f>
        <v>0</v>
      </c>
      <c r="J10" s="383">
        <f ca="1">IFERROR(IF($Z10&gt;=1,INDEX(DALLY!$N$10:$KZ$54,J$4,MATCH($AA10,DALLY!$N$10:$KZ$10,0)+$H$5),0),0)</f>
        <v>0</v>
      </c>
      <c r="K10" s="383">
        <f ca="1">IFERROR(IF($Z10&gt;=1,INDEX(DALLY!$N$10:$KZ$54,K$4,MATCH($AA10,DALLY!$N$10:$KZ$10,0)+$G$5),0),0)</f>
        <v>0</v>
      </c>
      <c r="L10" s="383">
        <f ca="1">IFERROR(IF($Z10&gt;=1,INDEX(DALLY!$N$10:$KZ$54,L$4,MATCH($AA10,DALLY!$N$10:$KZ$10,0)+$H$5),0),0)</f>
        <v>0</v>
      </c>
      <c r="M10" s="383">
        <f ca="1">IFERROR(IF($Z10&gt;=1,INDEX(DALLY!$N$10:$KZ$54,M$4,MATCH($AA10,DALLY!$N$10:$KZ$10,0)+$G$5),0),0)</f>
        <v>0</v>
      </c>
      <c r="N10" s="383">
        <f ca="1">IFERROR(IF($Z10&gt;=1,INDEX(DALLY!$N$10:$KZ$54,N$4,MATCH($AA10,DALLY!$N$10:$KZ$10,0)+$H$5),0),0)</f>
        <v>0</v>
      </c>
      <c r="O10" s="383">
        <f ca="1">IFERROR(IF($Z10&gt;=1,INDEX(DALLY!$N$10:$KZ$54,O$4,MATCH($AA10,DALLY!$N$10:$KZ$10,0)+$G$5),0),0)</f>
        <v>0</v>
      </c>
      <c r="P10" s="383">
        <f ca="1">IFERROR(IF($Z10&gt;=1,INDEX(DALLY!$N$10:$KZ$54,P$4,MATCH($AA10,DALLY!$N$10:$KZ$10,0)+$H$5),0),0)</f>
        <v>0</v>
      </c>
      <c r="Q10" s="383">
        <f>HOME!L9-HOME!N9</f>
        <v>1.2699999999999996</v>
      </c>
      <c r="R10" s="383">
        <f>HOME!M9-HOME!O9</f>
        <v>1.9100000000000001</v>
      </c>
      <c r="S10" s="383">
        <f t="shared" ca="1" si="8"/>
        <v>0</v>
      </c>
      <c r="T10" s="394">
        <f t="shared" ca="1" si="9"/>
        <v>0</v>
      </c>
      <c r="U10" s="383">
        <f t="shared" ca="1" si="10"/>
        <v>0</v>
      </c>
      <c r="V10" s="383">
        <f ca="1">IFERROR(IF($Z10&gt;=1,INDEX(DALLY!$N$10:$KZ$54,38,MATCH($AA10,DALLY!$N$10:$KZ$10,0)+2),0),0)</f>
        <v>0</v>
      </c>
      <c r="W10" s="383">
        <f t="shared" ca="1" si="11"/>
        <v>0</v>
      </c>
      <c r="Z10" s="364">
        <f ca="1">PROFILE!G6</f>
        <v>3</v>
      </c>
      <c r="AA10" s="44" t="str">
        <f>PROFILE!H6</f>
        <v>जुलाई 2019</v>
      </c>
      <c r="AB10" s="363">
        <f t="shared" ca="1" si="12"/>
        <v>0</v>
      </c>
      <c r="AC10" s="369">
        <f t="shared" ca="1" si="13"/>
        <v>0</v>
      </c>
      <c r="AD10" s="361">
        <f t="shared" ca="1" si="14"/>
        <v>0</v>
      </c>
      <c r="AE10" s="363">
        <f t="shared" ca="1" si="15"/>
        <v>0</v>
      </c>
      <c r="AF10" s="369">
        <f t="shared" ref="AF10" ca="1" si="79">IF(AE10&gt;0,ROUNDUP(AG10/AE10,0),0)</f>
        <v>0</v>
      </c>
      <c r="AG10" s="361">
        <f t="shared" ca="1" si="17"/>
        <v>0</v>
      </c>
      <c r="AH10" s="363">
        <f t="shared" ca="1" si="18"/>
        <v>0</v>
      </c>
      <c r="AI10" s="369">
        <f t="shared" ref="AI10" ca="1" si="80">IF(AH10&gt;0,ROUNDUP(AJ10/AH10,0),0)</f>
        <v>0</v>
      </c>
      <c r="AJ10" s="361">
        <f t="shared" ca="1" si="20"/>
        <v>0</v>
      </c>
      <c r="AK10" s="363">
        <f t="shared" ca="1" si="21"/>
        <v>0</v>
      </c>
      <c r="AL10" s="369">
        <f t="shared" ref="AL10" ca="1" si="81">IF(AK10&gt;0,ROUNDUP(AM10/AK10,0),0)</f>
        <v>0</v>
      </c>
      <c r="AM10" s="361">
        <f t="shared" ca="1" si="23"/>
        <v>0</v>
      </c>
      <c r="AN10" s="363">
        <f t="shared" ca="1" si="24"/>
        <v>0</v>
      </c>
      <c r="AO10" s="369">
        <f t="shared" ref="AO10" ca="1" si="82">IF(AN10&gt;0,ROUNDUP(AP10/AN10,0),0)</f>
        <v>0</v>
      </c>
      <c r="AP10" s="361">
        <f t="shared" ca="1" si="26"/>
        <v>0</v>
      </c>
      <c r="AQ10" s="369">
        <f t="shared" ca="1" si="27"/>
        <v>0</v>
      </c>
      <c r="AR10" s="361">
        <f t="shared" ca="1" si="28"/>
        <v>0</v>
      </c>
      <c r="AS10" s="369">
        <f t="shared" ca="1" si="29"/>
        <v>0</v>
      </c>
      <c r="AT10" s="363">
        <f t="shared" ca="1" si="30"/>
        <v>0</v>
      </c>
      <c r="AU10" s="369">
        <f t="shared" ca="1" si="31"/>
        <v>0</v>
      </c>
      <c r="AV10" s="361">
        <f t="shared" ca="1" si="32"/>
        <v>0</v>
      </c>
      <c r="AW10" s="363">
        <f t="shared" ca="1" si="33"/>
        <v>0</v>
      </c>
      <c r="AX10" s="369">
        <f t="shared" ca="1" si="34"/>
        <v>0</v>
      </c>
      <c r="AY10" s="361">
        <f t="shared" ca="1" si="35"/>
        <v>0</v>
      </c>
      <c r="AZ10" s="363">
        <f t="shared" ca="1" si="36"/>
        <v>0</v>
      </c>
      <c r="BA10" s="369">
        <f t="shared" ca="1" si="37"/>
        <v>0</v>
      </c>
      <c r="BB10" s="361">
        <f t="shared" ca="1" si="38"/>
        <v>0</v>
      </c>
      <c r="BC10" s="363">
        <f t="shared" ca="1" si="39"/>
        <v>0</v>
      </c>
      <c r="BD10" s="369">
        <f t="shared" ca="1" si="40"/>
        <v>0</v>
      </c>
      <c r="BE10" s="361">
        <f t="shared" ca="1" si="41"/>
        <v>0</v>
      </c>
      <c r="BF10" s="363">
        <f t="shared" ca="1" si="42"/>
        <v>0</v>
      </c>
      <c r="BG10" s="369">
        <f t="shared" ca="1" si="43"/>
        <v>0</v>
      </c>
      <c r="BH10" s="369">
        <f t="shared" ca="1" si="44"/>
        <v>0</v>
      </c>
      <c r="BI10" s="369">
        <f t="shared" ca="1" si="45"/>
        <v>0</v>
      </c>
      <c r="BJ10" s="369">
        <f t="shared" ca="1" si="46"/>
        <v>0</v>
      </c>
      <c r="BK10" s="369">
        <f t="shared" ca="1" si="47"/>
        <v>0</v>
      </c>
      <c r="BL10" s="361">
        <f t="shared" ca="1" si="48"/>
        <v>0</v>
      </c>
      <c r="BM10" s="369">
        <f t="shared" ca="1" si="49"/>
        <v>0</v>
      </c>
      <c r="BN10" s="369">
        <f t="shared" ca="1" si="50"/>
        <v>0</v>
      </c>
      <c r="BO10" s="363">
        <f ca="1">IF($Z10&gt;=1,ROUND(($C10*HOME!P9+$D10*HOME!T9)/1000,1),0)</f>
        <v>0</v>
      </c>
      <c r="BP10" s="369">
        <f t="shared" ca="1" si="51"/>
        <v>0</v>
      </c>
      <c r="BQ10" s="369">
        <f t="shared" ca="1" si="52"/>
        <v>0</v>
      </c>
      <c r="BR10" s="363">
        <f ca="1">IF($Z10&gt;=1,ROUND(($C10*HOME!Q9+$D10*HOME!U9)/1000,1),0)</f>
        <v>0</v>
      </c>
      <c r="BS10" s="369">
        <f t="shared" ca="1" si="53"/>
        <v>0</v>
      </c>
      <c r="BT10" s="369">
        <f t="shared" ca="1" si="54"/>
        <v>0</v>
      </c>
      <c r="BU10" s="363">
        <f ca="1">IF($Z10&gt;=1,ROUND(($C10*HOME!R9+$D10*HOME!V9)/1000,1),0)</f>
        <v>0</v>
      </c>
      <c r="BV10" s="369">
        <f t="shared" ca="1" si="55"/>
        <v>0</v>
      </c>
      <c r="BW10" s="369">
        <f t="shared" ca="1" si="56"/>
        <v>0</v>
      </c>
      <c r="BX10" s="363">
        <f t="shared" ca="1" si="57"/>
        <v>0</v>
      </c>
      <c r="BY10" s="369">
        <f t="shared" ca="1" si="58"/>
        <v>0</v>
      </c>
      <c r="BZ10" s="369">
        <f t="shared" ca="1" si="59"/>
        <v>0</v>
      </c>
      <c r="CA10" s="369">
        <f t="shared" ca="1" si="60"/>
        <v>0</v>
      </c>
      <c r="CB10" s="361">
        <f t="shared" ca="1" si="61"/>
        <v>0</v>
      </c>
      <c r="CC10" s="369">
        <f t="shared" ca="1" si="62"/>
        <v>0</v>
      </c>
      <c r="CD10" s="369">
        <f t="shared" ca="1" si="63"/>
        <v>0</v>
      </c>
      <c r="CE10" s="361">
        <f t="shared" ca="1" si="64"/>
        <v>0</v>
      </c>
      <c r="CF10" s="369">
        <f t="shared" ca="1" si="65"/>
        <v>0</v>
      </c>
      <c r="CG10" s="369">
        <f t="shared" ca="1" si="66"/>
        <v>0</v>
      </c>
      <c r="CH10" s="361">
        <f t="shared" ca="1" si="67"/>
        <v>0</v>
      </c>
      <c r="CI10" s="369">
        <f t="shared" ca="1" si="68"/>
        <v>0</v>
      </c>
      <c r="CJ10" s="369">
        <f t="shared" ca="1" si="69"/>
        <v>0</v>
      </c>
      <c r="CK10" s="361">
        <f t="shared" ca="1" si="70"/>
        <v>0</v>
      </c>
      <c r="CL10" s="369">
        <f t="shared" ca="1" si="71"/>
        <v>0</v>
      </c>
      <c r="CM10" s="369">
        <f t="shared" ca="1" si="72"/>
        <v>0</v>
      </c>
      <c r="CN10" s="361">
        <f t="shared" ca="1" si="73"/>
        <v>0</v>
      </c>
      <c r="CO10" s="369">
        <f t="shared" ca="1" si="74"/>
        <v>0</v>
      </c>
      <c r="CP10" s="369">
        <f t="shared" ca="1" si="75"/>
        <v>0</v>
      </c>
      <c r="CQ10" s="363">
        <f ca="1">DATA!AH10+DATA!AJ10</f>
        <v>0</v>
      </c>
      <c r="CR10" s="361">
        <v>2</v>
      </c>
      <c r="CS10" s="361">
        <f t="shared" ca="1" si="76"/>
        <v>0</v>
      </c>
      <c r="CT10" s="362">
        <f t="shared" ca="1" si="77"/>
        <v>0</v>
      </c>
      <c r="CU10" s="362">
        <f ca="1">PAYMENT!AP10</f>
        <v>0</v>
      </c>
      <c r="CV10" s="362">
        <f t="shared" ca="1" si="78"/>
        <v>0</v>
      </c>
      <c r="CY10" s="388">
        <f>IF($CW$3&gt;=5,(IF(LEN(CZ10)&gt;=2,CY9+1,0)),0)</f>
        <v>0</v>
      </c>
      <c r="CZ10" s="391" t="str">
        <f>IF($CW$3&gt;=5,BR$6,"")</f>
        <v/>
      </c>
      <c r="DA10" s="392">
        <f t="shared" ref="DA10:DA18" si="83">IFERROR(IF(CY10&gt;=1,INDEX($AA$8:$CT$19,MATCH($CW$2,$AA$8:$AA$19,0),MATCH(CZ10,$AA$6:$CT$6,0)),0),0)</f>
        <v>0</v>
      </c>
      <c r="DB10" s="390">
        <f t="shared" ref="DB10:DB18" si="84">IFERROR(IF(CY10&gt;=1,INDEX($AA$8:$CT$19,MATCH($CW$2,$AA$8:$AA$19,0),MATCH(CZ10,$AA$6:$CT$6,0)+1),0),0)</f>
        <v>0</v>
      </c>
      <c r="DC10" s="393">
        <f t="shared" ref="DC10:DC18" si="85">IFERROR(IF(CY10&gt;=1,INDEX($AA$8:$CT$19,MATCH($CW$2,$AA$8:$AA$19,0),MATCH(CZ10,$AA$6:$CT$6,0)+2),0),0)</f>
        <v>0</v>
      </c>
      <c r="DD10" s="370"/>
      <c r="DE10" s="388">
        <f>IF($CW$3&gt;=5,(IF(LEN(DF10)&gt;=2,DE9+1,0)),0)</f>
        <v>0</v>
      </c>
      <c r="DF10" s="391" t="str">
        <f>IF($CW$3&gt;=5,(IF($CT$2&gt;=2,VLOOKUP($CW$2,PARCHAGE!$F$6:$W$17,7,0),"")),"")</f>
        <v/>
      </c>
      <c r="DG10" s="392">
        <f>IFERROR(IF(DE10&gt;=1,INDEX($AA$8:$CT$19,MATCH($CW$2,$AA$8:$AA$19,0),5),0),0)</f>
        <v>0</v>
      </c>
      <c r="DH10" s="390">
        <f>IFERROR(IF(DE10&gt;=1,INDEX($AA$8:$CT$19,MATCH($CW$2,$AA$8:$AA$19,0),6),0),0)</f>
        <v>0</v>
      </c>
      <c r="DI10" s="393">
        <f>IFERROR(IF(DE10&gt;=1,INDEX($AA$8:$CT$19,MATCH($CW$2,$AA$8:$AA$19,0),7),0),0)</f>
        <v>0</v>
      </c>
      <c r="DJ10" s="380"/>
      <c r="DK10" s="380"/>
      <c r="DL10" s="388">
        <f>IF($CW$3&gt;=5,(IF(LEN(DM10)&gt;=2,DL9+1,0)),0)</f>
        <v>0</v>
      </c>
      <c r="DM10" s="391" t="str">
        <f>IF($CW$3&gt;=5,AW$6,"")</f>
        <v/>
      </c>
      <c r="DN10" s="392">
        <f t="shared" ref="DN10:DN13" si="86">IFERROR(IF(DL10&gt;=1,INDEX($AA$8:$CT$19,MATCH($CW$2,$AA$8:$AA$19,0),MATCH(DM10,$AA$6:$CT$6,0)),0),0)</f>
        <v>0</v>
      </c>
      <c r="DO10" s="390">
        <f t="shared" ref="DO10:DO13" si="87">IFERROR(IF(DL10&gt;=1,INDEX($AA$8:$CT$19,MATCH($CW$2,$AA$8:$AA$19,0),MATCH(DM10,$AA$6:$CT$6,0)+1),0),0)</f>
        <v>0</v>
      </c>
      <c r="DP10" s="393">
        <f t="shared" ref="DP10:DP13" si="88">IFERROR(IF(DL10&gt;=1,INDEX($AA$8:$CT$19,MATCH($CW$2,$AA$8:$AA$19,0),MATCH(DM10,$AA$6:$CT$6,0)+2),0),0)</f>
        <v>0</v>
      </c>
      <c r="DQ10" s="370"/>
      <c r="DR10" s="388"/>
      <c r="DS10" s="391"/>
      <c r="DT10" s="392"/>
      <c r="DU10" s="390"/>
      <c r="DV10" s="393"/>
      <c r="DW10" s="370"/>
      <c r="DX10" s="370"/>
      <c r="DY10" s="388"/>
      <c r="DZ10" s="391"/>
      <c r="EA10" s="392"/>
      <c r="EB10" s="390"/>
      <c r="EC10" s="393"/>
      <c r="ED10" s="380"/>
      <c r="EE10" s="388">
        <f>IF($CW$3&gt;=5,(IF(LEN(EF10)&gt;=2,EE9+1,0)),0)</f>
        <v>0</v>
      </c>
      <c r="EF10" s="396" t="str">
        <f>IF($CW$3&gt;=5,(IF(CV3=2,CT4,"")),"")</f>
        <v/>
      </c>
      <c r="EG10" s="392">
        <f>IF(EE10&gt;=1,(IF(CV3=2,VLOOKUP($CW$2,DATA!$U$8:$AN$19,19,0),0)),0)</f>
        <v>0</v>
      </c>
      <c r="EH10" s="372">
        <f>IF(EE10&gt;=1,(IF(CV3=2,VLOOKUP($CW$2,HOME!D7:AA18,23,0),0)),0)</f>
        <v>0</v>
      </c>
      <c r="EI10" s="393">
        <f>IF(EE10&gt;=1,EG10*EH10,0)</f>
        <v>0</v>
      </c>
    </row>
    <row r="11" spans="1:139" ht="24.95" customHeight="1" x14ac:dyDescent="0.25">
      <c r="A11" s="383">
        <f ca="1">STUDENT!AC12</f>
        <v>0</v>
      </c>
      <c r="B11" s="383">
        <f ca="1">STUDENT!AD12</f>
        <v>0</v>
      </c>
      <c r="C11" s="383">
        <f ca="1">IFERROR(IF($Z11&gt;=1,INDEX(DALLY!$N$10:$KZ$54,40,MATCH($AA11,DALLY!$N$10:$KZ$10,0)+7),0),0)</f>
        <v>0</v>
      </c>
      <c r="D11" s="383">
        <f ca="1">IFERROR(IF($Z11&gt;=1,INDEX(DALLY!$N$10:$KZ$54,40,MATCH($AA11,DALLY!$N$10:$KZ$10,0)+8),0),0)</f>
        <v>0</v>
      </c>
      <c r="E11" s="383">
        <f ca="1">IFERROR(IF($Z11&gt;=1,INDEX(DALLY!$N$10:$KZ$54,39,MATCH($AA11,DALLY!$N$10:$KZ$10,0)+7),0),0)</f>
        <v>0</v>
      </c>
      <c r="F11" s="383">
        <f ca="1">IFERROR(IF($Z11&gt;=1,INDEX(DALLY!$N$10:$KZ$54,39,MATCH($AA11,DALLY!$N$10:$KZ$10,0)+8),0),0)</f>
        <v>0</v>
      </c>
      <c r="G11" s="383">
        <f ca="1">IFERROR(IF($Z11&gt;=1,INDEX(DALLY!$N$10:$KZ$54,G$4,MATCH($AA11,DALLY!$N$10:$KZ$10,0)+$G$5),0),0)</f>
        <v>0</v>
      </c>
      <c r="H11" s="383">
        <f ca="1">IFERROR(IF($Z11&gt;=1,INDEX(DALLY!$N$10:$KZ$54,H$4,MATCH($AA11,DALLY!$N$10:$KZ$10,0)+$H$5),0),0)</f>
        <v>0</v>
      </c>
      <c r="I11" s="383">
        <f ca="1">IFERROR(IF($Z11&gt;=1,INDEX(DALLY!$N$10:$KZ$54,I$4,MATCH($AA11,DALLY!$N$10:$KZ$10,0)+$G$5),0),0)</f>
        <v>0</v>
      </c>
      <c r="J11" s="383">
        <f ca="1">IFERROR(IF($Z11&gt;=1,INDEX(DALLY!$N$10:$KZ$54,J$4,MATCH($AA11,DALLY!$N$10:$KZ$10,0)+$H$5),0),0)</f>
        <v>0</v>
      </c>
      <c r="K11" s="383">
        <f ca="1">IFERROR(IF($Z11&gt;=1,INDEX(DALLY!$N$10:$KZ$54,K$4,MATCH($AA11,DALLY!$N$10:$KZ$10,0)+$G$5),0),0)</f>
        <v>0</v>
      </c>
      <c r="L11" s="383">
        <f ca="1">IFERROR(IF($Z11&gt;=1,INDEX(DALLY!$N$10:$KZ$54,L$4,MATCH($AA11,DALLY!$N$10:$KZ$10,0)+$H$5),0),0)</f>
        <v>0</v>
      </c>
      <c r="M11" s="383">
        <f ca="1">IFERROR(IF($Z11&gt;=1,INDEX(DALLY!$N$10:$KZ$54,M$4,MATCH($AA11,DALLY!$N$10:$KZ$10,0)+$G$5),0),0)</f>
        <v>0</v>
      </c>
      <c r="N11" s="383">
        <f ca="1">IFERROR(IF($Z11&gt;=1,INDEX(DALLY!$N$10:$KZ$54,N$4,MATCH($AA11,DALLY!$N$10:$KZ$10,0)+$H$5),0),0)</f>
        <v>0</v>
      </c>
      <c r="O11" s="383">
        <f ca="1">IFERROR(IF($Z11&gt;=1,INDEX(DALLY!$N$10:$KZ$54,O$4,MATCH($AA11,DALLY!$N$10:$KZ$10,0)+$G$5),0),0)</f>
        <v>0</v>
      </c>
      <c r="P11" s="383">
        <f ca="1">IFERROR(IF($Z11&gt;=1,INDEX(DALLY!$N$10:$KZ$54,P$4,MATCH($AA11,DALLY!$N$10:$KZ$10,0)+$H$5),0),0)</f>
        <v>0</v>
      </c>
      <c r="Q11" s="383">
        <f>HOME!L10-HOME!N10</f>
        <v>1.3100000000000005</v>
      </c>
      <c r="R11" s="383">
        <f>HOME!M10-HOME!O10</f>
        <v>1.9699999999999998</v>
      </c>
      <c r="S11" s="383">
        <f t="shared" ca="1" si="8"/>
        <v>0</v>
      </c>
      <c r="T11" s="394">
        <f t="shared" ca="1" si="9"/>
        <v>0</v>
      </c>
      <c r="U11" s="383">
        <f t="shared" ca="1" si="10"/>
        <v>0</v>
      </c>
      <c r="V11" s="383">
        <f ca="1">IFERROR(IF($Z11&gt;=1,INDEX(DALLY!$N$10:$KZ$54,38,MATCH($AA11,DALLY!$N$10:$KZ$10,0)+2),0),0)</f>
        <v>0</v>
      </c>
      <c r="W11" s="383">
        <f t="shared" ca="1" si="11"/>
        <v>0</v>
      </c>
      <c r="Z11" s="364">
        <f ca="1">PROFILE!G7</f>
        <v>4</v>
      </c>
      <c r="AA11" s="44" t="str">
        <f>PROFILE!H7</f>
        <v>अगस्त 2019</v>
      </c>
      <c r="AB11" s="363">
        <f t="shared" ca="1" si="12"/>
        <v>0</v>
      </c>
      <c r="AC11" s="369">
        <f t="shared" ca="1" si="13"/>
        <v>0</v>
      </c>
      <c r="AD11" s="361">
        <f t="shared" ca="1" si="14"/>
        <v>0</v>
      </c>
      <c r="AE11" s="363">
        <f t="shared" ca="1" si="15"/>
        <v>0</v>
      </c>
      <c r="AF11" s="369">
        <f t="shared" ref="AF11" ca="1" si="89">IF(AE11&gt;0,ROUNDUP(AG11/AE11,0),0)</f>
        <v>0</v>
      </c>
      <c r="AG11" s="361">
        <f t="shared" ca="1" si="17"/>
        <v>0</v>
      </c>
      <c r="AH11" s="363">
        <f t="shared" ca="1" si="18"/>
        <v>0</v>
      </c>
      <c r="AI11" s="369">
        <f t="shared" ref="AI11" ca="1" si="90">IF(AH11&gt;0,ROUNDUP(AJ11/AH11,0),0)</f>
        <v>0</v>
      </c>
      <c r="AJ11" s="361">
        <f t="shared" ca="1" si="20"/>
        <v>0</v>
      </c>
      <c r="AK11" s="363">
        <f t="shared" ca="1" si="21"/>
        <v>0</v>
      </c>
      <c r="AL11" s="369">
        <f t="shared" ref="AL11" ca="1" si="91">IF(AK11&gt;0,ROUNDUP(AM11/AK11,0),0)</f>
        <v>0</v>
      </c>
      <c r="AM11" s="361">
        <f t="shared" ca="1" si="23"/>
        <v>0</v>
      </c>
      <c r="AN11" s="363">
        <f t="shared" ca="1" si="24"/>
        <v>0</v>
      </c>
      <c r="AO11" s="369">
        <f t="shared" ref="AO11" ca="1" si="92">IF(AN11&gt;0,ROUNDUP(AP11/AN11,0),0)</f>
        <v>0</v>
      </c>
      <c r="AP11" s="361">
        <f t="shared" ca="1" si="26"/>
        <v>0</v>
      </c>
      <c r="AQ11" s="369">
        <f t="shared" ca="1" si="27"/>
        <v>0</v>
      </c>
      <c r="AR11" s="361">
        <f t="shared" ca="1" si="28"/>
        <v>0</v>
      </c>
      <c r="AS11" s="369">
        <f t="shared" ca="1" si="29"/>
        <v>0</v>
      </c>
      <c r="AT11" s="363">
        <f t="shared" ca="1" si="30"/>
        <v>0</v>
      </c>
      <c r="AU11" s="369">
        <f t="shared" ca="1" si="31"/>
        <v>0</v>
      </c>
      <c r="AV11" s="361">
        <f t="shared" ca="1" si="32"/>
        <v>0</v>
      </c>
      <c r="AW11" s="363">
        <f t="shared" ca="1" si="33"/>
        <v>0</v>
      </c>
      <c r="AX11" s="369">
        <f t="shared" ca="1" si="34"/>
        <v>0</v>
      </c>
      <c r="AY11" s="361">
        <f t="shared" ca="1" si="35"/>
        <v>0</v>
      </c>
      <c r="AZ11" s="363">
        <f t="shared" ca="1" si="36"/>
        <v>0</v>
      </c>
      <c r="BA11" s="369">
        <f t="shared" ca="1" si="37"/>
        <v>0</v>
      </c>
      <c r="BB11" s="361">
        <f t="shared" ca="1" si="38"/>
        <v>0</v>
      </c>
      <c r="BC11" s="363">
        <f t="shared" ca="1" si="39"/>
        <v>0</v>
      </c>
      <c r="BD11" s="369">
        <f t="shared" ca="1" si="40"/>
        <v>0</v>
      </c>
      <c r="BE11" s="361">
        <f t="shared" ca="1" si="41"/>
        <v>0</v>
      </c>
      <c r="BF11" s="363">
        <f t="shared" ca="1" si="42"/>
        <v>0</v>
      </c>
      <c r="BG11" s="369">
        <f t="shared" ca="1" si="43"/>
        <v>0</v>
      </c>
      <c r="BH11" s="369">
        <f t="shared" ca="1" si="44"/>
        <v>0</v>
      </c>
      <c r="BI11" s="369">
        <f t="shared" ca="1" si="45"/>
        <v>0</v>
      </c>
      <c r="BJ11" s="369">
        <f t="shared" ca="1" si="46"/>
        <v>0</v>
      </c>
      <c r="BK11" s="369">
        <f t="shared" ca="1" si="47"/>
        <v>0</v>
      </c>
      <c r="BL11" s="361">
        <f t="shared" ca="1" si="48"/>
        <v>0</v>
      </c>
      <c r="BM11" s="369">
        <f t="shared" ca="1" si="49"/>
        <v>0</v>
      </c>
      <c r="BN11" s="369">
        <f t="shared" ca="1" si="50"/>
        <v>0</v>
      </c>
      <c r="BO11" s="363">
        <f ca="1">IF($Z11&gt;=1,ROUND(($C11*HOME!P10+$D11*HOME!T10)/1000,1),0)</f>
        <v>0</v>
      </c>
      <c r="BP11" s="369">
        <f t="shared" ca="1" si="51"/>
        <v>0</v>
      </c>
      <c r="BQ11" s="369">
        <f t="shared" ca="1" si="52"/>
        <v>0</v>
      </c>
      <c r="BR11" s="363">
        <f ca="1">IF($Z11&gt;=1,ROUND(($C11*HOME!Q10+$D11*HOME!U10)/1000,1),0)</f>
        <v>0</v>
      </c>
      <c r="BS11" s="369">
        <f t="shared" ca="1" si="53"/>
        <v>0</v>
      </c>
      <c r="BT11" s="369">
        <f t="shared" ca="1" si="54"/>
        <v>0</v>
      </c>
      <c r="BU11" s="363">
        <f ca="1">IF($Z11&gt;=1,ROUND(($C11*HOME!R10+$D11*HOME!V10)/1000,1),0)</f>
        <v>0</v>
      </c>
      <c r="BV11" s="369">
        <f t="shared" ca="1" si="55"/>
        <v>0</v>
      </c>
      <c r="BW11" s="369">
        <f t="shared" ca="1" si="56"/>
        <v>0</v>
      </c>
      <c r="BX11" s="363">
        <f t="shared" ca="1" si="57"/>
        <v>0</v>
      </c>
      <c r="BY11" s="369">
        <f t="shared" ca="1" si="58"/>
        <v>0</v>
      </c>
      <c r="BZ11" s="369">
        <f t="shared" ca="1" si="59"/>
        <v>0</v>
      </c>
      <c r="CA11" s="369">
        <f t="shared" ca="1" si="60"/>
        <v>0</v>
      </c>
      <c r="CB11" s="361">
        <f t="shared" ca="1" si="61"/>
        <v>0</v>
      </c>
      <c r="CC11" s="369">
        <f t="shared" ca="1" si="62"/>
        <v>0</v>
      </c>
      <c r="CD11" s="369">
        <f t="shared" ca="1" si="63"/>
        <v>0</v>
      </c>
      <c r="CE11" s="361">
        <f t="shared" ca="1" si="64"/>
        <v>0</v>
      </c>
      <c r="CF11" s="369">
        <f t="shared" ca="1" si="65"/>
        <v>0</v>
      </c>
      <c r="CG11" s="369">
        <f t="shared" ca="1" si="66"/>
        <v>0</v>
      </c>
      <c r="CH11" s="361">
        <f t="shared" ca="1" si="67"/>
        <v>0</v>
      </c>
      <c r="CI11" s="369">
        <f t="shared" ca="1" si="68"/>
        <v>0</v>
      </c>
      <c r="CJ11" s="369">
        <f t="shared" ca="1" si="69"/>
        <v>0</v>
      </c>
      <c r="CK11" s="361">
        <f t="shared" ca="1" si="70"/>
        <v>0</v>
      </c>
      <c r="CL11" s="369">
        <f t="shared" ca="1" si="71"/>
        <v>0</v>
      </c>
      <c r="CM11" s="369">
        <f t="shared" ca="1" si="72"/>
        <v>0</v>
      </c>
      <c r="CN11" s="361">
        <f t="shared" ca="1" si="73"/>
        <v>0</v>
      </c>
      <c r="CO11" s="369">
        <f t="shared" ca="1" si="74"/>
        <v>0</v>
      </c>
      <c r="CP11" s="369">
        <f t="shared" ca="1" si="75"/>
        <v>0</v>
      </c>
      <c r="CQ11" s="363">
        <f ca="1">DATA!AH11+DATA!AJ11</f>
        <v>0</v>
      </c>
      <c r="CR11" s="361">
        <v>2</v>
      </c>
      <c r="CS11" s="361">
        <f t="shared" ca="1" si="76"/>
        <v>0</v>
      </c>
      <c r="CT11" s="362">
        <f t="shared" ca="1" si="77"/>
        <v>0</v>
      </c>
      <c r="CU11" s="362">
        <f ca="1">PAYMENT!AP11</f>
        <v>0</v>
      </c>
      <c r="CV11" s="362">
        <f t="shared" ca="1" si="78"/>
        <v>0</v>
      </c>
      <c r="CY11" s="388">
        <f t="shared" ref="CY11:CY18" si="93">IF($CW$3&gt;=5,(IF(LEN(CZ11)&gt;=2,CY10+1,0)),0)</f>
        <v>0</v>
      </c>
      <c r="CZ11" s="391" t="str">
        <f>IF($CW$3&gt;=5,BU$6,"")</f>
        <v/>
      </c>
      <c r="DA11" s="392">
        <f t="shared" si="83"/>
        <v>0</v>
      </c>
      <c r="DB11" s="390">
        <f t="shared" si="84"/>
        <v>0</v>
      </c>
      <c r="DC11" s="393">
        <f t="shared" si="85"/>
        <v>0</v>
      </c>
      <c r="DD11" s="370"/>
      <c r="DE11" s="388">
        <f t="shared" ref="DE11:DE13" si="94">IF($CW$3&gt;=5,(IF(LEN(DF11)&gt;=2,DE10+1,0)),0)</f>
        <v>0</v>
      </c>
      <c r="DF11" s="391" t="str">
        <f>IF($CW$3&gt;=5,(IF($CT$2&gt;=3,VLOOKUP($CW$2,PARCHAGE!$F$6:$W$17,8,0),"")),"")</f>
        <v/>
      </c>
      <c r="DG11" s="392">
        <f>IFERROR(IF(DE11&gt;=1,INDEX($AA$8:$CT$19,MATCH($CW$2,$AA$8:$AA$19,0),8),0),0)</f>
        <v>0</v>
      </c>
      <c r="DH11" s="390">
        <f>IFERROR(IF(DE11&gt;=1,INDEX($AA$8:$CT$19,MATCH($CW$2,$AA$8:$AA$19,0),9),0),0)</f>
        <v>0</v>
      </c>
      <c r="DI11" s="393">
        <f>IFERROR(IF(DE11&gt;=1,INDEX($AA$8:$CT$19,MATCH($CW$2,$AA$8:$AA$19,0),10),0),0)</f>
        <v>0</v>
      </c>
      <c r="DJ11" s="380"/>
      <c r="DK11" s="380"/>
      <c r="DL11" s="388">
        <f t="shared" ref="DL11:DL13" si="95">IF($CW$3&gt;=5,(IF(LEN(DM11)&gt;=2,DL10+1,0)),0)</f>
        <v>0</v>
      </c>
      <c r="DM11" s="391" t="str">
        <f>IF($CW$3&gt;=5,AZ$6,"")</f>
        <v/>
      </c>
      <c r="DN11" s="392">
        <f t="shared" si="86"/>
        <v>0</v>
      </c>
      <c r="DO11" s="390">
        <f t="shared" si="87"/>
        <v>0</v>
      </c>
      <c r="DP11" s="393">
        <f t="shared" si="88"/>
        <v>0</v>
      </c>
      <c r="DQ11" s="370"/>
      <c r="DR11" s="388"/>
      <c r="DS11" s="391"/>
      <c r="DT11" s="392"/>
      <c r="DU11" s="390"/>
      <c r="DV11" s="393"/>
      <c r="DW11" s="370"/>
      <c r="DX11" s="370"/>
      <c r="DY11" s="388"/>
      <c r="DZ11" s="391"/>
      <c r="EA11" s="392"/>
      <c r="EB11" s="390"/>
      <c r="EC11" s="393"/>
      <c r="ED11" s="380"/>
      <c r="EE11" s="376"/>
      <c r="EF11" s="371"/>
      <c r="EG11" s="371"/>
      <c r="EH11" s="371"/>
      <c r="EI11" s="377"/>
    </row>
    <row r="12" spans="1:139" ht="24.95" customHeight="1" x14ac:dyDescent="0.25">
      <c r="A12" s="383">
        <f ca="1">STUDENT!AC13</f>
        <v>0</v>
      </c>
      <c r="B12" s="383">
        <f ca="1">STUDENT!AD13</f>
        <v>0</v>
      </c>
      <c r="C12" s="383">
        <f ca="1">IFERROR(IF($Z12&gt;=1,INDEX(DALLY!$N$10:$KZ$54,40,MATCH($AA12,DALLY!$N$10:$KZ$10,0)+7),0),0)</f>
        <v>0</v>
      </c>
      <c r="D12" s="383">
        <f ca="1">IFERROR(IF($Z12&gt;=1,INDEX(DALLY!$N$10:$KZ$54,40,MATCH($AA12,DALLY!$N$10:$KZ$10,0)+8),0),0)</f>
        <v>0</v>
      </c>
      <c r="E12" s="383">
        <f ca="1">IFERROR(IF($Z12&gt;=1,INDEX(DALLY!$N$10:$KZ$54,39,MATCH($AA12,DALLY!$N$10:$KZ$10,0)+7),0),0)</f>
        <v>0</v>
      </c>
      <c r="F12" s="383">
        <f ca="1">IFERROR(IF($Z12&gt;=1,INDEX(DALLY!$N$10:$KZ$54,39,MATCH($AA12,DALLY!$N$10:$KZ$10,0)+8),0),0)</f>
        <v>0</v>
      </c>
      <c r="G12" s="383">
        <f ca="1">IFERROR(IF($Z12&gt;=1,INDEX(DALLY!$N$10:$KZ$54,G$4,MATCH($AA12,DALLY!$N$10:$KZ$10,0)+$G$5),0),0)</f>
        <v>0</v>
      </c>
      <c r="H12" s="383">
        <f ca="1">IFERROR(IF($Z12&gt;=1,INDEX(DALLY!$N$10:$KZ$54,H$4,MATCH($AA12,DALLY!$N$10:$KZ$10,0)+$H$5),0),0)</f>
        <v>0</v>
      </c>
      <c r="I12" s="383">
        <f ca="1">IFERROR(IF($Z12&gt;=1,INDEX(DALLY!$N$10:$KZ$54,I$4,MATCH($AA12,DALLY!$N$10:$KZ$10,0)+$G$5),0),0)</f>
        <v>0</v>
      </c>
      <c r="J12" s="383">
        <f ca="1">IFERROR(IF($Z12&gt;=1,INDEX(DALLY!$N$10:$KZ$54,J$4,MATCH($AA12,DALLY!$N$10:$KZ$10,0)+$H$5),0),0)</f>
        <v>0</v>
      </c>
      <c r="K12" s="383">
        <f ca="1">IFERROR(IF($Z12&gt;=1,INDEX(DALLY!$N$10:$KZ$54,K$4,MATCH($AA12,DALLY!$N$10:$KZ$10,0)+$G$5),0),0)</f>
        <v>0</v>
      </c>
      <c r="L12" s="383">
        <f ca="1">IFERROR(IF($Z12&gt;=1,INDEX(DALLY!$N$10:$KZ$54,L$4,MATCH($AA12,DALLY!$N$10:$KZ$10,0)+$H$5),0),0)</f>
        <v>0</v>
      </c>
      <c r="M12" s="383">
        <f ca="1">IFERROR(IF($Z12&gt;=1,INDEX(DALLY!$N$10:$KZ$54,M$4,MATCH($AA12,DALLY!$N$10:$KZ$10,0)+$G$5),0),0)</f>
        <v>0</v>
      </c>
      <c r="N12" s="383">
        <f ca="1">IFERROR(IF($Z12&gt;=1,INDEX(DALLY!$N$10:$KZ$54,N$4,MATCH($AA12,DALLY!$N$10:$KZ$10,0)+$H$5),0),0)</f>
        <v>0</v>
      </c>
      <c r="O12" s="383">
        <f ca="1">IFERROR(IF($Z12&gt;=1,INDEX(DALLY!$N$10:$KZ$54,O$4,MATCH($AA12,DALLY!$N$10:$KZ$10,0)+$G$5),0),0)</f>
        <v>0</v>
      </c>
      <c r="P12" s="383">
        <f ca="1">IFERROR(IF($Z12&gt;=1,INDEX(DALLY!$N$10:$KZ$54,P$4,MATCH($AA12,DALLY!$N$10:$KZ$10,0)+$H$5),0),0)</f>
        <v>0</v>
      </c>
      <c r="Q12" s="383">
        <f>HOME!L11-HOME!N11</f>
        <v>1.3100000000000005</v>
      </c>
      <c r="R12" s="383">
        <f>HOME!M11-HOME!O11</f>
        <v>1.9699999999999998</v>
      </c>
      <c r="S12" s="383">
        <f t="shared" ca="1" si="8"/>
        <v>0</v>
      </c>
      <c r="T12" s="394">
        <f t="shared" ca="1" si="9"/>
        <v>0</v>
      </c>
      <c r="U12" s="383">
        <f t="shared" ca="1" si="10"/>
        <v>0</v>
      </c>
      <c r="V12" s="383">
        <f ca="1">IFERROR(IF($Z12&gt;=1,INDEX(DALLY!$N$10:$KZ$54,38,MATCH($AA12,DALLY!$N$10:$KZ$10,0)+2),0),0)</f>
        <v>0</v>
      </c>
      <c r="W12" s="383">
        <f t="shared" ca="1" si="11"/>
        <v>0</v>
      </c>
      <c r="Z12" s="364">
        <f ca="1">PROFILE!G8</f>
        <v>5</v>
      </c>
      <c r="AA12" s="44" t="str">
        <f>PROFILE!H8</f>
        <v>सितम्बर 2019</v>
      </c>
      <c r="AB12" s="363">
        <f t="shared" ca="1" si="12"/>
        <v>0</v>
      </c>
      <c r="AC12" s="369">
        <f t="shared" ca="1" si="13"/>
        <v>0</v>
      </c>
      <c r="AD12" s="361">
        <f t="shared" ca="1" si="14"/>
        <v>0</v>
      </c>
      <c r="AE12" s="363">
        <f t="shared" ca="1" si="15"/>
        <v>0</v>
      </c>
      <c r="AF12" s="369">
        <f t="shared" ref="AF12" ca="1" si="96">IF(AE12&gt;0,ROUNDUP(AG12/AE12,0),0)</f>
        <v>0</v>
      </c>
      <c r="AG12" s="361">
        <f t="shared" ca="1" si="17"/>
        <v>0</v>
      </c>
      <c r="AH12" s="363">
        <f t="shared" ca="1" si="18"/>
        <v>0</v>
      </c>
      <c r="AI12" s="369">
        <f t="shared" ref="AI12" ca="1" si="97">IF(AH12&gt;0,ROUNDUP(AJ12/AH12,0),0)</f>
        <v>0</v>
      </c>
      <c r="AJ12" s="361">
        <f t="shared" ca="1" si="20"/>
        <v>0</v>
      </c>
      <c r="AK12" s="363">
        <f t="shared" ca="1" si="21"/>
        <v>0</v>
      </c>
      <c r="AL12" s="369">
        <f t="shared" ref="AL12" ca="1" si="98">IF(AK12&gt;0,ROUNDUP(AM12/AK12,0),0)</f>
        <v>0</v>
      </c>
      <c r="AM12" s="361">
        <f t="shared" ca="1" si="23"/>
        <v>0</v>
      </c>
      <c r="AN12" s="363">
        <f t="shared" ca="1" si="24"/>
        <v>0</v>
      </c>
      <c r="AO12" s="369">
        <f t="shared" ref="AO12" ca="1" si="99">IF(AN12&gt;0,ROUNDUP(AP12/AN12,0),0)</f>
        <v>0</v>
      </c>
      <c r="AP12" s="361">
        <f t="shared" ca="1" si="26"/>
        <v>0</v>
      </c>
      <c r="AQ12" s="369">
        <f t="shared" ca="1" si="27"/>
        <v>0</v>
      </c>
      <c r="AR12" s="361">
        <f t="shared" ca="1" si="28"/>
        <v>0</v>
      </c>
      <c r="AS12" s="369">
        <f t="shared" ca="1" si="29"/>
        <v>0</v>
      </c>
      <c r="AT12" s="363">
        <f t="shared" ca="1" si="30"/>
        <v>0</v>
      </c>
      <c r="AU12" s="369">
        <f t="shared" ca="1" si="31"/>
        <v>0</v>
      </c>
      <c r="AV12" s="361">
        <f t="shared" ca="1" si="32"/>
        <v>0</v>
      </c>
      <c r="AW12" s="363">
        <f t="shared" ca="1" si="33"/>
        <v>0</v>
      </c>
      <c r="AX12" s="369">
        <f t="shared" ca="1" si="34"/>
        <v>0</v>
      </c>
      <c r="AY12" s="361">
        <f t="shared" ca="1" si="35"/>
        <v>0</v>
      </c>
      <c r="AZ12" s="363">
        <f t="shared" ca="1" si="36"/>
        <v>0</v>
      </c>
      <c r="BA12" s="369">
        <f t="shared" ca="1" si="37"/>
        <v>0</v>
      </c>
      <c r="BB12" s="361">
        <f t="shared" ca="1" si="38"/>
        <v>0</v>
      </c>
      <c r="BC12" s="363">
        <f t="shared" ca="1" si="39"/>
        <v>0</v>
      </c>
      <c r="BD12" s="369">
        <f t="shared" ca="1" si="40"/>
        <v>0</v>
      </c>
      <c r="BE12" s="361">
        <f t="shared" ca="1" si="41"/>
        <v>0</v>
      </c>
      <c r="BF12" s="363">
        <f t="shared" ca="1" si="42"/>
        <v>0</v>
      </c>
      <c r="BG12" s="369">
        <f t="shared" ca="1" si="43"/>
        <v>0</v>
      </c>
      <c r="BH12" s="369">
        <f t="shared" ca="1" si="44"/>
        <v>0</v>
      </c>
      <c r="BI12" s="369">
        <f t="shared" ca="1" si="45"/>
        <v>0</v>
      </c>
      <c r="BJ12" s="369">
        <f t="shared" ca="1" si="46"/>
        <v>0</v>
      </c>
      <c r="BK12" s="369">
        <f t="shared" ca="1" si="47"/>
        <v>0</v>
      </c>
      <c r="BL12" s="361">
        <f t="shared" ca="1" si="48"/>
        <v>0</v>
      </c>
      <c r="BM12" s="369">
        <f t="shared" ca="1" si="49"/>
        <v>0</v>
      </c>
      <c r="BN12" s="369">
        <f t="shared" ca="1" si="50"/>
        <v>0</v>
      </c>
      <c r="BO12" s="363">
        <f ca="1">IF($Z12&gt;=1,ROUND(($C12*HOME!P11+$D12*HOME!T11)/1000,1),0)</f>
        <v>0</v>
      </c>
      <c r="BP12" s="369">
        <f t="shared" ca="1" si="51"/>
        <v>0</v>
      </c>
      <c r="BQ12" s="369">
        <f t="shared" ca="1" si="52"/>
        <v>0</v>
      </c>
      <c r="BR12" s="363">
        <f ca="1">IF($Z12&gt;=1,ROUND(($C12*HOME!Q11+$D12*HOME!U11)/1000,1),0)</f>
        <v>0</v>
      </c>
      <c r="BS12" s="369">
        <f t="shared" ca="1" si="53"/>
        <v>0</v>
      </c>
      <c r="BT12" s="369">
        <f t="shared" ca="1" si="54"/>
        <v>0</v>
      </c>
      <c r="BU12" s="363">
        <f ca="1">IF($Z12&gt;=1,ROUND(($C12*HOME!R11+$D12*HOME!V11)/1000,1),0)</f>
        <v>0</v>
      </c>
      <c r="BV12" s="369">
        <f t="shared" ca="1" si="55"/>
        <v>0</v>
      </c>
      <c r="BW12" s="369">
        <f t="shared" ca="1" si="56"/>
        <v>0</v>
      </c>
      <c r="BX12" s="363">
        <f t="shared" ca="1" si="57"/>
        <v>0</v>
      </c>
      <c r="BY12" s="369">
        <f t="shared" ca="1" si="58"/>
        <v>0</v>
      </c>
      <c r="BZ12" s="369">
        <f t="shared" ca="1" si="59"/>
        <v>0</v>
      </c>
      <c r="CA12" s="369">
        <f t="shared" ca="1" si="60"/>
        <v>0</v>
      </c>
      <c r="CB12" s="361">
        <f t="shared" ca="1" si="61"/>
        <v>0</v>
      </c>
      <c r="CC12" s="369">
        <f t="shared" ca="1" si="62"/>
        <v>0</v>
      </c>
      <c r="CD12" s="369">
        <f t="shared" ca="1" si="63"/>
        <v>0</v>
      </c>
      <c r="CE12" s="361">
        <f t="shared" ca="1" si="64"/>
        <v>0</v>
      </c>
      <c r="CF12" s="369">
        <f t="shared" ca="1" si="65"/>
        <v>0</v>
      </c>
      <c r="CG12" s="369">
        <f t="shared" ca="1" si="66"/>
        <v>0</v>
      </c>
      <c r="CH12" s="361">
        <f t="shared" ca="1" si="67"/>
        <v>0</v>
      </c>
      <c r="CI12" s="369">
        <f t="shared" ca="1" si="68"/>
        <v>0</v>
      </c>
      <c r="CJ12" s="369">
        <f t="shared" ca="1" si="69"/>
        <v>0</v>
      </c>
      <c r="CK12" s="361">
        <f t="shared" ca="1" si="70"/>
        <v>0</v>
      </c>
      <c r="CL12" s="369">
        <f t="shared" ca="1" si="71"/>
        <v>0</v>
      </c>
      <c r="CM12" s="369">
        <f t="shared" ca="1" si="72"/>
        <v>0</v>
      </c>
      <c r="CN12" s="361">
        <f t="shared" ca="1" si="73"/>
        <v>0</v>
      </c>
      <c r="CO12" s="369">
        <f t="shared" ca="1" si="74"/>
        <v>0</v>
      </c>
      <c r="CP12" s="369">
        <f t="shared" ca="1" si="75"/>
        <v>0</v>
      </c>
      <c r="CQ12" s="363">
        <f ca="1">DATA!AH12+DATA!AJ12</f>
        <v>0</v>
      </c>
      <c r="CR12" s="361">
        <v>2</v>
      </c>
      <c r="CS12" s="361">
        <f t="shared" ca="1" si="76"/>
        <v>0</v>
      </c>
      <c r="CT12" s="362">
        <f t="shared" ca="1" si="77"/>
        <v>0</v>
      </c>
      <c r="CU12" s="362">
        <f ca="1">PAYMENT!AP12</f>
        <v>0</v>
      </c>
      <c r="CV12" s="362">
        <f t="shared" ca="1" si="78"/>
        <v>0</v>
      </c>
      <c r="CY12" s="388">
        <f t="shared" si="93"/>
        <v>0</v>
      </c>
      <c r="CZ12" s="391" t="str">
        <f>IF($CW$3&gt;=5,BL$6,"")</f>
        <v/>
      </c>
      <c r="DA12" s="392">
        <f t="shared" si="83"/>
        <v>0</v>
      </c>
      <c r="DB12" s="390">
        <f t="shared" si="84"/>
        <v>0</v>
      </c>
      <c r="DC12" s="393">
        <f t="shared" si="85"/>
        <v>0</v>
      </c>
      <c r="DD12" s="370"/>
      <c r="DE12" s="388">
        <f t="shared" si="94"/>
        <v>0</v>
      </c>
      <c r="DF12" s="391" t="str">
        <f>IF($CW$3&gt;=5,(IF($CT$2&gt;=4,VLOOKUP($CW$2,PARCHAGE!$F$6:$W$17,9,0),"")),"")</f>
        <v/>
      </c>
      <c r="DG12" s="392">
        <f>IFERROR(IF(DE12&gt;=1,INDEX($AA$8:$CT$19,MATCH($CW$2,$AA$8:$AA$19,0),11),0),0)</f>
        <v>0</v>
      </c>
      <c r="DH12" s="390">
        <f>IFERROR(IF(DE12&gt;=1,INDEX($AA$8:$CT$19,MATCH($CW$2,$AA$8:$AA$19,0),12),0),0)</f>
        <v>0</v>
      </c>
      <c r="DI12" s="393">
        <f>IFERROR(IF(DE12&gt;=1,INDEX($AA$8:$CT$19,MATCH($CW$2,$AA$8:$AA$19,0),13),0),0)</f>
        <v>0</v>
      </c>
      <c r="DJ12" s="380"/>
      <c r="DK12" s="380"/>
      <c r="DL12" s="388">
        <f t="shared" si="95"/>
        <v>0</v>
      </c>
      <c r="DM12" s="391" t="str">
        <f>IF($CW$3&gt;=5,BC$6,"")</f>
        <v/>
      </c>
      <c r="DN12" s="392">
        <f t="shared" si="86"/>
        <v>0</v>
      </c>
      <c r="DO12" s="390">
        <f t="shared" si="87"/>
        <v>0</v>
      </c>
      <c r="DP12" s="393">
        <f t="shared" si="88"/>
        <v>0</v>
      </c>
      <c r="DQ12" s="370"/>
      <c r="DR12" s="388"/>
      <c r="DS12" s="391"/>
      <c r="DT12" s="392"/>
      <c r="DU12" s="390"/>
      <c r="DV12" s="393"/>
      <c r="DW12" s="370"/>
      <c r="DX12" s="370"/>
      <c r="DY12" s="388"/>
      <c r="DZ12" s="391"/>
      <c r="EA12" s="392"/>
      <c r="EB12" s="390"/>
      <c r="EC12" s="393"/>
      <c r="ED12" s="380"/>
      <c r="EE12" s="376"/>
      <c r="EF12" s="371"/>
      <c r="EG12" s="371"/>
      <c r="EH12" s="371"/>
      <c r="EI12" s="377"/>
    </row>
    <row r="13" spans="1:139" ht="24.95" customHeight="1" x14ac:dyDescent="0.25">
      <c r="A13" s="383">
        <f ca="1">STUDENT!AC14</f>
        <v>0</v>
      </c>
      <c r="B13" s="383">
        <f ca="1">STUDENT!AD14</f>
        <v>0</v>
      </c>
      <c r="C13" s="383">
        <f ca="1">IFERROR(IF($Z13&gt;=1,INDEX(DALLY!$N$10:$KZ$54,40,MATCH($AA13,DALLY!$N$10:$KZ$10,0)+7),0),0)</f>
        <v>0</v>
      </c>
      <c r="D13" s="383">
        <f ca="1">IFERROR(IF($Z13&gt;=1,INDEX(DALLY!$N$10:$KZ$54,40,MATCH($AA13,DALLY!$N$10:$KZ$10,0)+8),0),0)</f>
        <v>0</v>
      </c>
      <c r="E13" s="383">
        <f ca="1">IFERROR(IF($Z13&gt;=1,INDEX(DALLY!$N$10:$KZ$54,39,MATCH($AA13,DALLY!$N$10:$KZ$10,0)+7),0),0)</f>
        <v>0</v>
      </c>
      <c r="F13" s="383">
        <f ca="1">IFERROR(IF($Z13&gt;=1,INDEX(DALLY!$N$10:$KZ$54,39,MATCH($AA13,DALLY!$N$10:$KZ$10,0)+8),0),0)</f>
        <v>0</v>
      </c>
      <c r="G13" s="383">
        <f ca="1">IFERROR(IF($Z13&gt;=1,INDEX(DALLY!$N$10:$KZ$54,G$4,MATCH($AA13,DALLY!$N$10:$KZ$10,0)+$G$5),0),0)</f>
        <v>0</v>
      </c>
      <c r="H13" s="383">
        <f ca="1">IFERROR(IF($Z13&gt;=1,INDEX(DALLY!$N$10:$KZ$54,H$4,MATCH($AA13,DALLY!$N$10:$KZ$10,0)+$H$5),0),0)</f>
        <v>0</v>
      </c>
      <c r="I13" s="383">
        <f ca="1">IFERROR(IF($Z13&gt;=1,INDEX(DALLY!$N$10:$KZ$54,I$4,MATCH($AA13,DALLY!$N$10:$KZ$10,0)+$G$5),0),0)</f>
        <v>0</v>
      </c>
      <c r="J13" s="383">
        <f ca="1">IFERROR(IF($Z13&gt;=1,INDEX(DALLY!$N$10:$KZ$54,J$4,MATCH($AA13,DALLY!$N$10:$KZ$10,0)+$H$5),0),0)</f>
        <v>0</v>
      </c>
      <c r="K13" s="383">
        <f ca="1">IFERROR(IF($Z13&gt;=1,INDEX(DALLY!$N$10:$KZ$54,K$4,MATCH($AA13,DALLY!$N$10:$KZ$10,0)+$G$5),0),0)</f>
        <v>0</v>
      </c>
      <c r="L13" s="383">
        <f ca="1">IFERROR(IF($Z13&gt;=1,INDEX(DALLY!$N$10:$KZ$54,L$4,MATCH($AA13,DALLY!$N$10:$KZ$10,0)+$H$5),0),0)</f>
        <v>0</v>
      </c>
      <c r="M13" s="383">
        <f ca="1">IFERROR(IF($Z13&gt;=1,INDEX(DALLY!$N$10:$KZ$54,M$4,MATCH($AA13,DALLY!$N$10:$KZ$10,0)+$G$5),0),0)</f>
        <v>0</v>
      </c>
      <c r="N13" s="383">
        <f ca="1">IFERROR(IF($Z13&gt;=1,INDEX(DALLY!$N$10:$KZ$54,N$4,MATCH($AA13,DALLY!$N$10:$KZ$10,0)+$H$5),0),0)</f>
        <v>0</v>
      </c>
      <c r="O13" s="383">
        <f ca="1">IFERROR(IF($Z13&gt;=1,INDEX(DALLY!$N$10:$KZ$54,O$4,MATCH($AA13,DALLY!$N$10:$KZ$10,0)+$G$5),0),0)</f>
        <v>0</v>
      </c>
      <c r="P13" s="383">
        <f ca="1">IFERROR(IF($Z13&gt;=1,INDEX(DALLY!$N$10:$KZ$54,P$4,MATCH($AA13,DALLY!$N$10:$KZ$10,0)+$H$5),0),0)</f>
        <v>0</v>
      </c>
      <c r="Q13" s="383">
        <f>HOME!L12-HOME!N12</f>
        <v>1.3100000000000005</v>
      </c>
      <c r="R13" s="383">
        <f>HOME!M12-HOME!O12</f>
        <v>1.9699999999999998</v>
      </c>
      <c r="S13" s="383">
        <f t="shared" ca="1" si="8"/>
        <v>0</v>
      </c>
      <c r="T13" s="394">
        <f t="shared" ca="1" si="9"/>
        <v>0</v>
      </c>
      <c r="U13" s="383">
        <f t="shared" ca="1" si="10"/>
        <v>0</v>
      </c>
      <c r="V13" s="383">
        <f ca="1">IFERROR(IF($Z13&gt;=1,INDEX(DALLY!$N$10:$KZ$54,38,MATCH($AA13,DALLY!$N$10:$KZ$10,0)+2),0),0)</f>
        <v>0</v>
      </c>
      <c r="W13" s="383">
        <f t="shared" ca="1" si="11"/>
        <v>0</v>
      </c>
      <c r="Z13" s="364">
        <f ca="1">PROFILE!G9</f>
        <v>6</v>
      </c>
      <c r="AA13" s="44" t="str">
        <f>PROFILE!H9</f>
        <v>अक्टूम्बर 2019</v>
      </c>
      <c r="AB13" s="363">
        <f t="shared" ca="1" si="12"/>
        <v>0</v>
      </c>
      <c r="AC13" s="369">
        <f t="shared" ca="1" si="13"/>
        <v>0</v>
      </c>
      <c r="AD13" s="361">
        <f t="shared" ca="1" si="14"/>
        <v>0</v>
      </c>
      <c r="AE13" s="363">
        <f t="shared" ca="1" si="15"/>
        <v>0</v>
      </c>
      <c r="AF13" s="369">
        <f t="shared" ref="AF13" ca="1" si="100">IF(AE13&gt;0,ROUNDUP(AG13/AE13,0),0)</f>
        <v>0</v>
      </c>
      <c r="AG13" s="361">
        <f t="shared" ca="1" si="17"/>
        <v>0</v>
      </c>
      <c r="AH13" s="363">
        <f t="shared" ca="1" si="18"/>
        <v>0</v>
      </c>
      <c r="AI13" s="369">
        <f t="shared" ref="AI13" ca="1" si="101">IF(AH13&gt;0,ROUNDUP(AJ13/AH13,0),0)</f>
        <v>0</v>
      </c>
      <c r="AJ13" s="361">
        <f t="shared" ca="1" si="20"/>
        <v>0</v>
      </c>
      <c r="AK13" s="363">
        <f t="shared" ca="1" si="21"/>
        <v>0</v>
      </c>
      <c r="AL13" s="369">
        <f t="shared" ref="AL13" ca="1" si="102">IF(AK13&gt;0,ROUNDUP(AM13/AK13,0),0)</f>
        <v>0</v>
      </c>
      <c r="AM13" s="361">
        <f t="shared" ca="1" si="23"/>
        <v>0</v>
      </c>
      <c r="AN13" s="363">
        <f t="shared" ca="1" si="24"/>
        <v>0</v>
      </c>
      <c r="AO13" s="369">
        <f t="shared" ref="AO13" ca="1" si="103">IF(AN13&gt;0,ROUNDUP(AP13/AN13,0),0)</f>
        <v>0</v>
      </c>
      <c r="AP13" s="361">
        <f t="shared" ca="1" si="26"/>
        <v>0</v>
      </c>
      <c r="AQ13" s="369">
        <f t="shared" ca="1" si="27"/>
        <v>0</v>
      </c>
      <c r="AR13" s="361">
        <f t="shared" ca="1" si="28"/>
        <v>0</v>
      </c>
      <c r="AS13" s="369">
        <f t="shared" ca="1" si="29"/>
        <v>0</v>
      </c>
      <c r="AT13" s="363">
        <f t="shared" ca="1" si="30"/>
        <v>0</v>
      </c>
      <c r="AU13" s="369">
        <f t="shared" ca="1" si="31"/>
        <v>0</v>
      </c>
      <c r="AV13" s="361">
        <f t="shared" ca="1" si="32"/>
        <v>0</v>
      </c>
      <c r="AW13" s="363">
        <f t="shared" ca="1" si="33"/>
        <v>0</v>
      </c>
      <c r="AX13" s="369">
        <f t="shared" ca="1" si="34"/>
        <v>0</v>
      </c>
      <c r="AY13" s="361">
        <f t="shared" ca="1" si="35"/>
        <v>0</v>
      </c>
      <c r="AZ13" s="363">
        <f t="shared" ca="1" si="36"/>
        <v>0</v>
      </c>
      <c r="BA13" s="369">
        <f t="shared" ca="1" si="37"/>
        <v>0</v>
      </c>
      <c r="BB13" s="361">
        <f t="shared" ca="1" si="38"/>
        <v>0</v>
      </c>
      <c r="BC13" s="363">
        <f t="shared" ca="1" si="39"/>
        <v>0</v>
      </c>
      <c r="BD13" s="369">
        <f t="shared" ca="1" si="40"/>
        <v>0</v>
      </c>
      <c r="BE13" s="361">
        <f t="shared" ca="1" si="41"/>
        <v>0</v>
      </c>
      <c r="BF13" s="363">
        <f t="shared" ca="1" si="42"/>
        <v>0</v>
      </c>
      <c r="BG13" s="369">
        <f t="shared" ca="1" si="43"/>
        <v>0</v>
      </c>
      <c r="BH13" s="369">
        <f t="shared" ca="1" si="44"/>
        <v>0</v>
      </c>
      <c r="BI13" s="369">
        <f t="shared" ca="1" si="45"/>
        <v>0</v>
      </c>
      <c r="BJ13" s="369">
        <f t="shared" ca="1" si="46"/>
        <v>0</v>
      </c>
      <c r="BK13" s="369">
        <f t="shared" ca="1" si="47"/>
        <v>0</v>
      </c>
      <c r="BL13" s="361">
        <f t="shared" ca="1" si="48"/>
        <v>0</v>
      </c>
      <c r="BM13" s="369">
        <f t="shared" ca="1" si="49"/>
        <v>0</v>
      </c>
      <c r="BN13" s="369">
        <f t="shared" ca="1" si="50"/>
        <v>0</v>
      </c>
      <c r="BO13" s="363">
        <f ca="1">IF($Z13&gt;=1,ROUND(($C13*HOME!P12+$D13*HOME!T12)/1000,1),0)</f>
        <v>0</v>
      </c>
      <c r="BP13" s="369">
        <f t="shared" ca="1" si="51"/>
        <v>0</v>
      </c>
      <c r="BQ13" s="369">
        <f t="shared" ca="1" si="52"/>
        <v>0</v>
      </c>
      <c r="BR13" s="363">
        <f ca="1">IF($Z13&gt;=1,ROUND(($C13*HOME!Q12+$D13*HOME!U12)/1000,1),0)</f>
        <v>0</v>
      </c>
      <c r="BS13" s="369">
        <f t="shared" ca="1" si="53"/>
        <v>0</v>
      </c>
      <c r="BT13" s="369">
        <f t="shared" ca="1" si="54"/>
        <v>0</v>
      </c>
      <c r="BU13" s="363">
        <f ca="1">IF($Z13&gt;=1,ROUND(($C13*HOME!R12+$D13*HOME!V12)/1000,1),0)</f>
        <v>0</v>
      </c>
      <c r="BV13" s="369">
        <f t="shared" ca="1" si="55"/>
        <v>0</v>
      </c>
      <c r="BW13" s="369">
        <f t="shared" ca="1" si="56"/>
        <v>0</v>
      </c>
      <c r="BX13" s="363">
        <f t="shared" ca="1" si="57"/>
        <v>0</v>
      </c>
      <c r="BY13" s="369">
        <f t="shared" ca="1" si="58"/>
        <v>0</v>
      </c>
      <c r="BZ13" s="369">
        <f t="shared" ca="1" si="59"/>
        <v>0</v>
      </c>
      <c r="CA13" s="369">
        <f t="shared" ca="1" si="60"/>
        <v>0</v>
      </c>
      <c r="CB13" s="361">
        <f t="shared" ca="1" si="61"/>
        <v>0</v>
      </c>
      <c r="CC13" s="369">
        <f t="shared" ca="1" si="62"/>
        <v>0</v>
      </c>
      <c r="CD13" s="369">
        <f t="shared" ca="1" si="63"/>
        <v>0</v>
      </c>
      <c r="CE13" s="361">
        <f t="shared" ca="1" si="64"/>
        <v>0</v>
      </c>
      <c r="CF13" s="369">
        <f t="shared" ca="1" si="65"/>
        <v>0</v>
      </c>
      <c r="CG13" s="369">
        <f t="shared" ca="1" si="66"/>
        <v>0</v>
      </c>
      <c r="CH13" s="361">
        <f t="shared" ca="1" si="67"/>
        <v>0</v>
      </c>
      <c r="CI13" s="369">
        <f t="shared" ca="1" si="68"/>
        <v>0</v>
      </c>
      <c r="CJ13" s="369">
        <f t="shared" ca="1" si="69"/>
        <v>0</v>
      </c>
      <c r="CK13" s="361">
        <f t="shared" ca="1" si="70"/>
        <v>0</v>
      </c>
      <c r="CL13" s="369">
        <f t="shared" ca="1" si="71"/>
        <v>0</v>
      </c>
      <c r="CM13" s="369">
        <f t="shared" ca="1" si="72"/>
        <v>0</v>
      </c>
      <c r="CN13" s="361">
        <f t="shared" ca="1" si="73"/>
        <v>0</v>
      </c>
      <c r="CO13" s="369">
        <f t="shared" ca="1" si="74"/>
        <v>0</v>
      </c>
      <c r="CP13" s="369">
        <f t="shared" ca="1" si="75"/>
        <v>0</v>
      </c>
      <c r="CQ13" s="363">
        <f ca="1">DATA!AH13+DATA!AJ13</f>
        <v>0</v>
      </c>
      <c r="CR13" s="361">
        <v>2</v>
      </c>
      <c r="CS13" s="361">
        <f t="shared" ca="1" si="76"/>
        <v>0</v>
      </c>
      <c r="CT13" s="362">
        <f t="shared" ca="1" si="77"/>
        <v>0</v>
      </c>
      <c r="CU13" s="362">
        <f ca="1">PAYMENT!AP13</f>
        <v>0</v>
      </c>
      <c r="CV13" s="362">
        <f t="shared" ca="1" si="78"/>
        <v>0</v>
      </c>
      <c r="CY13" s="388">
        <f t="shared" si="93"/>
        <v>0</v>
      </c>
      <c r="CZ13" s="391" t="str">
        <f>IF($CW$3&gt;=5,CB$6,"")</f>
        <v/>
      </c>
      <c r="DA13" s="392">
        <f t="shared" si="83"/>
        <v>0</v>
      </c>
      <c r="DB13" s="390">
        <f t="shared" si="84"/>
        <v>0</v>
      </c>
      <c r="DC13" s="393">
        <f t="shared" si="85"/>
        <v>0</v>
      </c>
      <c r="DD13" s="370"/>
      <c r="DE13" s="388">
        <f t="shared" si="94"/>
        <v>0</v>
      </c>
      <c r="DF13" s="391" t="str">
        <f>IF($CW$3&gt;=5,(IF($CT$2&gt;=5,VLOOKUP($CW$2,PARCHAGE!$F$6:$W$17,10,0),"")),"")</f>
        <v/>
      </c>
      <c r="DG13" s="392">
        <f>IFERROR(IF(DE13&gt;=1,INDEX($AA$8:$CT$19,MATCH($CW$2,$AA$8:$AA$19,0),14),0),0)</f>
        <v>0</v>
      </c>
      <c r="DH13" s="390">
        <f>IFERROR(IF(DE13&gt;=1,INDEX($AA$8:$CT$19,MATCH($CW$2,$AA$8:$AA$19,0),15),0),0)</f>
        <v>0</v>
      </c>
      <c r="DI13" s="393">
        <f>IFERROR(IF(DE13&gt;=1,INDEX($AA$8:$CT$19,MATCH($CW$2,$AA$8:$AA$19,0),16),0),0)</f>
        <v>0</v>
      </c>
      <c r="DJ13" s="380"/>
      <c r="DK13" s="380"/>
      <c r="DL13" s="388">
        <f t="shared" si="95"/>
        <v>0</v>
      </c>
      <c r="DM13" s="391" t="str">
        <f>IF($CW$3&gt;=5,BF$6,"")</f>
        <v/>
      </c>
      <c r="DN13" s="392">
        <f t="shared" si="86"/>
        <v>0</v>
      </c>
      <c r="DO13" s="390">
        <f t="shared" si="87"/>
        <v>0</v>
      </c>
      <c r="DP13" s="393">
        <f t="shared" si="88"/>
        <v>0</v>
      </c>
      <c r="DQ13" s="370"/>
      <c r="DR13" s="388"/>
      <c r="DS13" s="391"/>
      <c r="DT13" s="392"/>
      <c r="DU13" s="390"/>
      <c r="DV13" s="393"/>
      <c r="DW13" s="370"/>
      <c r="DX13" s="370"/>
      <c r="DY13" s="388"/>
      <c r="DZ13" s="391"/>
      <c r="EA13" s="392"/>
      <c r="EB13" s="390"/>
      <c r="EC13" s="393"/>
      <c r="ED13" s="380"/>
      <c r="EE13" s="376"/>
      <c r="EF13" s="371"/>
      <c r="EG13" s="371"/>
      <c r="EH13" s="371"/>
      <c r="EI13" s="377"/>
    </row>
    <row r="14" spans="1:139" ht="24.95" customHeight="1" x14ac:dyDescent="0.25">
      <c r="A14" s="383">
        <f ca="1">STUDENT!AC15</f>
        <v>0</v>
      </c>
      <c r="B14" s="383">
        <f ca="1">STUDENT!AD15</f>
        <v>0</v>
      </c>
      <c r="C14" s="383">
        <f ca="1">IFERROR(IF($Z14&gt;=1,INDEX(DALLY!$N$10:$KZ$54,40,MATCH($AA14,DALLY!$N$10:$KZ$10,0)+7),0),0)</f>
        <v>0</v>
      </c>
      <c r="D14" s="383">
        <f ca="1">IFERROR(IF($Z14&gt;=1,INDEX(DALLY!$N$10:$KZ$54,40,MATCH($AA14,DALLY!$N$10:$KZ$10,0)+8),0),0)</f>
        <v>0</v>
      </c>
      <c r="E14" s="383">
        <f ca="1">IFERROR(IF($Z14&gt;=1,INDEX(DALLY!$N$10:$KZ$54,39,MATCH($AA14,DALLY!$N$10:$KZ$10,0)+7),0),0)</f>
        <v>0</v>
      </c>
      <c r="F14" s="383">
        <f ca="1">IFERROR(IF($Z14&gt;=1,INDEX(DALLY!$N$10:$KZ$54,39,MATCH($AA14,DALLY!$N$10:$KZ$10,0)+8),0),0)</f>
        <v>0</v>
      </c>
      <c r="G14" s="383">
        <f ca="1">IFERROR(IF($Z14&gt;=1,INDEX(DALLY!$N$10:$KZ$54,G$4,MATCH($AA14,DALLY!$N$10:$KZ$10,0)+$G$5),0),0)</f>
        <v>0</v>
      </c>
      <c r="H14" s="383">
        <f ca="1">IFERROR(IF($Z14&gt;=1,INDEX(DALLY!$N$10:$KZ$54,H$4,MATCH($AA14,DALLY!$N$10:$KZ$10,0)+$H$5),0),0)</f>
        <v>0</v>
      </c>
      <c r="I14" s="383">
        <f ca="1">IFERROR(IF($Z14&gt;=1,INDEX(DALLY!$N$10:$KZ$54,I$4,MATCH($AA14,DALLY!$N$10:$KZ$10,0)+$G$5),0),0)</f>
        <v>0</v>
      </c>
      <c r="J14" s="383">
        <f ca="1">IFERROR(IF($Z14&gt;=1,INDEX(DALLY!$N$10:$KZ$54,J$4,MATCH($AA14,DALLY!$N$10:$KZ$10,0)+$H$5),0),0)</f>
        <v>0</v>
      </c>
      <c r="K14" s="383">
        <f ca="1">IFERROR(IF($Z14&gt;=1,INDEX(DALLY!$N$10:$KZ$54,K$4,MATCH($AA14,DALLY!$N$10:$KZ$10,0)+$G$5),0),0)</f>
        <v>0</v>
      </c>
      <c r="L14" s="383">
        <f ca="1">IFERROR(IF($Z14&gt;=1,INDEX(DALLY!$N$10:$KZ$54,L$4,MATCH($AA14,DALLY!$N$10:$KZ$10,0)+$H$5),0),0)</f>
        <v>0</v>
      </c>
      <c r="M14" s="383">
        <f ca="1">IFERROR(IF($Z14&gt;=1,INDEX(DALLY!$N$10:$KZ$54,M$4,MATCH($AA14,DALLY!$N$10:$KZ$10,0)+$G$5),0),0)</f>
        <v>0</v>
      </c>
      <c r="N14" s="383">
        <f ca="1">IFERROR(IF($Z14&gt;=1,INDEX(DALLY!$N$10:$KZ$54,N$4,MATCH($AA14,DALLY!$N$10:$KZ$10,0)+$H$5),0),0)</f>
        <v>0</v>
      </c>
      <c r="O14" s="383">
        <f ca="1">IFERROR(IF($Z14&gt;=1,INDEX(DALLY!$N$10:$KZ$54,O$4,MATCH($AA14,DALLY!$N$10:$KZ$10,0)+$G$5),0),0)</f>
        <v>0</v>
      </c>
      <c r="P14" s="383">
        <f ca="1">IFERROR(IF($Z14&gt;=1,INDEX(DALLY!$N$10:$KZ$54,P$4,MATCH($AA14,DALLY!$N$10:$KZ$10,0)+$H$5),0),0)</f>
        <v>0</v>
      </c>
      <c r="Q14" s="383">
        <f>HOME!L13-HOME!N13</f>
        <v>1.3100000000000005</v>
      </c>
      <c r="R14" s="383">
        <f>HOME!M13-HOME!O13</f>
        <v>1.9699999999999998</v>
      </c>
      <c r="S14" s="383">
        <f t="shared" ca="1" si="8"/>
        <v>0</v>
      </c>
      <c r="T14" s="394">
        <f t="shared" ca="1" si="9"/>
        <v>0</v>
      </c>
      <c r="U14" s="383">
        <f t="shared" ca="1" si="10"/>
        <v>0</v>
      </c>
      <c r="V14" s="383">
        <f ca="1">IFERROR(IF($Z14&gt;=1,INDEX(DALLY!$N$10:$KZ$54,38,MATCH($AA14,DALLY!$N$10:$KZ$10,0)+2),0),0)</f>
        <v>0</v>
      </c>
      <c r="W14" s="383">
        <f t="shared" ca="1" si="11"/>
        <v>0</v>
      </c>
      <c r="Z14" s="364">
        <f ca="1">PROFILE!G10</f>
        <v>7</v>
      </c>
      <c r="AA14" s="44" t="str">
        <f>PROFILE!H10</f>
        <v>नवम्बर 2019</v>
      </c>
      <c r="AB14" s="363">
        <f t="shared" ca="1" si="12"/>
        <v>0</v>
      </c>
      <c r="AC14" s="369">
        <f t="shared" ca="1" si="13"/>
        <v>0</v>
      </c>
      <c r="AD14" s="361">
        <f t="shared" ca="1" si="14"/>
        <v>0</v>
      </c>
      <c r="AE14" s="363">
        <f t="shared" ca="1" si="15"/>
        <v>0</v>
      </c>
      <c r="AF14" s="369">
        <f t="shared" ref="AF14" ca="1" si="104">IF(AE14&gt;0,ROUNDUP(AG14/AE14,0),0)</f>
        <v>0</v>
      </c>
      <c r="AG14" s="361">
        <f t="shared" ca="1" si="17"/>
        <v>0</v>
      </c>
      <c r="AH14" s="363">
        <f t="shared" ca="1" si="18"/>
        <v>0</v>
      </c>
      <c r="AI14" s="369">
        <f t="shared" ref="AI14" ca="1" si="105">IF(AH14&gt;0,ROUNDUP(AJ14/AH14,0),0)</f>
        <v>0</v>
      </c>
      <c r="AJ14" s="361">
        <f t="shared" ca="1" si="20"/>
        <v>0</v>
      </c>
      <c r="AK14" s="363">
        <f t="shared" ca="1" si="21"/>
        <v>0</v>
      </c>
      <c r="AL14" s="369">
        <f t="shared" ref="AL14" ca="1" si="106">IF(AK14&gt;0,ROUNDUP(AM14/AK14,0),0)</f>
        <v>0</v>
      </c>
      <c r="AM14" s="361">
        <f t="shared" ca="1" si="23"/>
        <v>0</v>
      </c>
      <c r="AN14" s="363">
        <f t="shared" ca="1" si="24"/>
        <v>0</v>
      </c>
      <c r="AO14" s="369">
        <f t="shared" ref="AO14" ca="1" si="107">IF(AN14&gt;0,ROUNDUP(AP14/AN14,0),0)</f>
        <v>0</v>
      </c>
      <c r="AP14" s="361">
        <f t="shared" ca="1" si="26"/>
        <v>0</v>
      </c>
      <c r="AQ14" s="369">
        <f t="shared" ca="1" si="27"/>
        <v>0</v>
      </c>
      <c r="AR14" s="361">
        <f t="shared" ca="1" si="28"/>
        <v>0</v>
      </c>
      <c r="AS14" s="369">
        <f t="shared" ca="1" si="29"/>
        <v>0</v>
      </c>
      <c r="AT14" s="363">
        <f t="shared" ca="1" si="30"/>
        <v>0</v>
      </c>
      <c r="AU14" s="369">
        <f t="shared" ca="1" si="31"/>
        <v>0</v>
      </c>
      <c r="AV14" s="361">
        <f t="shared" ca="1" si="32"/>
        <v>0</v>
      </c>
      <c r="AW14" s="363">
        <f t="shared" ca="1" si="33"/>
        <v>0</v>
      </c>
      <c r="AX14" s="369">
        <f t="shared" ca="1" si="34"/>
        <v>0</v>
      </c>
      <c r="AY14" s="361">
        <f t="shared" ca="1" si="35"/>
        <v>0</v>
      </c>
      <c r="AZ14" s="363">
        <f t="shared" ca="1" si="36"/>
        <v>0</v>
      </c>
      <c r="BA14" s="369">
        <f t="shared" ca="1" si="37"/>
        <v>0</v>
      </c>
      <c r="BB14" s="361">
        <f t="shared" ca="1" si="38"/>
        <v>0</v>
      </c>
      <c r="BC14" s="363">
        <f t="shared" ca="1" si="39"/>
        <v>0</v>
      </c>
      <c r="BD14" s="369">
        <f t="shared" ca="1" si="40"/>
        <v>0</v>
      </c>
      <c r="BE14" s="361">
        <f t="shared" ca="1" si="41"/>
        <v>0</v>
      </c>
      <c r="BF14" s="363">
        <f t="shared" ca="1" si="42"/>
        <v>0</v>
      </c>
      <c r="BG14" s="369">
        <f t="shared" ca="1" si="43"/>
        <v>0</v>
      </c>
      <c r="BH14" s="369">
        <f t="shared" ca="1" si="44"/>
        <v>0</v>
      </c>
      <c r="BI14" s="369">
        <f t="shared" ca="1" si="45"/>
        <v>0</v>
      </c>
      <c r="BJ14" s="369">
        <f t="shared" ca="1" si="46"/>
        <v>0</v>
      </c>
      <c r="BK14" s="369">
        <f t="shared" ca="1" si="47"/>
        <v>0</v>
      </c>
      <c r="BL14" s="361">
        <f t="shared" ca="1" si="48"/>
        <v>0</v>
      </c>
      <c r="BM14" s="369">
        <f t="shared" ca="1" si="49"/>
        <v>0</v>
      </c>
      <c r="BN14" s="369">
        <f t="shared" ca="1" si="50"/>
        <v>0</v>
      </c>
      <c r="BO14" s="363">
        <f ca="1">IF($Z14&gt;=1,ROUND(($C14*HOME!P13+$D14*HOME!T13)/1000,1),0)</f>
        <v>0</v>
      </c>
      <c r="BP14" s="369">
        <f t="shared" ca="1" si="51"/>
        <v>0</v>
      </c>
      <c r="BQ14" s="369">
        <f t="shared" ca="1" si="52"/>
        <v>0</v>
      </c>
      <c r="BR14" s="363">
        <f ca="1">IF($Z14&gt;=1,ROUND(($C14*HOME!Q13+$D14*HOME!U13)/1000,1),0)</f>
        <v>0</v>
      </c>
      <c r="BS14" s="369">
        <f t="shared" ca="1" si="53"/>
        <v>0</v>
      </c>
      <c r="BT14" s="369">
        <f t="shared" ca="1" si="54"/>
        <v>0</v>
      </c>
      <c r="BU14" s="363">
        <f ca="1">IF($Z14&gt;=1,ROUND(($C14*HOME!R13+$D14*HOME!V13)/1000,1),0)</f>
        <v>0</v>
      </c>
      <c r="BV14" s="369">
        <f t="shared" ca="1" si="55"/>
        <v>0</v>
      </c>
      <c r="BW14" s="369">
        <f t="shared" ca="1" si="56"/>
        <v>0</v>
      </c>
      <c r="BX14" s="363">
        <f t="shared" ca="1" si="57"/>
        <v>0</v>
      </c>
      <c r="BY14" s="369">
        <f t="shared" ca="1" si="58"/>
        <v>0</v>
      </c>
      <c r="BZ14" s="369">
        <f t="shared" ca="1" si="59"/>
        <v>0</v>
      </c>
      <c r="CA14" s="369">
        <f t="shared" ca="1" si="60"/>
        <v>0</v>
      </c>
      <c r="CB14" s="361">
        <f t="shared" ca="1" si="61"/>
        <v>0</v>
      </c>
      <c r="CC14" s="369">
        <f t="shared" ca="1" si="62"/>
        <v>0</v>
      </c>
      <c r="CD14" s="369">
        <f t="shared" ca="1" si="63"/>
        <v>0</v>
      </c>
      <c r="CE14" s="361">
        <f t="shared" ca="1" si="64"/>
        <v>0</v>
      </c>
      <c r="CF14" s="369">
        <f t="shared" ca="1" si="65"/>
        <v>0</v>
      </c>
      <c r="CG14" s="369">
        <f t="shared" ca="1" si="66"/>
        <v>0</v>
      </c>
      <c r="CH14" s="361">
        <f t="shared" ca="1" si="67"/>
        <v>0</v>
      </c>
      <c r="CI14" s="369">
        <f t="shared" ca="1" si="68"/>
        <v>0</v>
      </c>
      <c r="CJ14" s="369">
        <f t="shared" ca="1" si="69"/>
        <v>0</v>
      </c>
      <c r="CK14" s="361">
        <f t="shared" ca="1" si="70"/>
        <v>0</v>
      </c>
      <c r="CL14" s="369">
        <f t="shared" ca="1" si="71"/>
        <v>0</v>
      </c>
      <c r="CM14" s="369">
        <f t="shared" ca="1" si="72"/>
        <v>0</v>
      </c>
      <c r="CN14" s="361">
        <f t="shared" ca="1" si="73"/>
        <v>0</v>
      </c>
      <c r="CO14" s="369">
        <f t="shared" ca="1" si="74"/>
        <v>0</v>
      </c>
      <c r="CP14" s="369">
        <f t="shared" ca="1" si="75"/>
        <v>0</v>
      </c>
      <c r="CQ14" s="363">
        <f ca="1">DATA!AH14+DATA!AJ14</f>
        <v>0</v>
      </c>
      <c r="CR14" s="361">
        <v>2</v>
      </c>
      <c r="CS14" s="361">
        <f t="shared" ca="1" si="76"/>
        <v>0</v>
      </c>
      <c r="CT14" s="362">
        <f t="shared" ca="1" si="77"/>
        <v>0</v>
      </c>
      <c r="CU14" s="362">
        <f ca="1">PAYMENT!AP14</f>
        <v>0</v>
      </c>
      <c r="CV14" s="362">
        <f t="shared" ca="1" si="78"/>
        <v>0</v>
      </c>
      <c r="CY14" s="388">
        <f t="shared" si="93"/>
        <v>0</v>
      </c>
      <c r="CZ14" s="391" t="str">
        <f>IF($CW$3&gt;=5,CE$6,"")</f>
        <v/>
      </c>
      <c r="DA14" s="392">
        <f t="shared" si="83"/>
        <v>0</v>
      </c>
      <c r="DB14" s="390">
        <f t="shared" si="84"/>
        <v>0</v>
      </c>
      <c r="DC14" s="393">
        <f t="shared" si="85"/>
        <v>0</v>
      </c>
      <c r="DD14" s="370"/>
      <c r="DE14" s="388"/>
      <c r="DF14" s="391"/>
      <c r="DG14" s="392">
        <f t="shared" ref="DG14:DG18" si="108">IFERROR(IF(DE14&gt;=1,INDEX($AA$8:$CT$19,MATCH($CW$2,$AA$8:$AA$19,0),MATCH(DF14,$AA$6:$CT$6,0)),0),0)</f>
        <v>0</v>
      </c>
      <c r="DH14" s="390">
        <f t="shared" ref="DH14:DH18" si="109">IFERROR(IF(DE14&gt;=1,INDEX($AA$8:$CT$19,MATCH($CW$2,$AA$8:$AA$19,0),MATCH(DF14,$AA$6:$CT$6,0)+1),0),0)</f>
        <v>0</v>
      </c>
      <c r="DI14" s="393">
        <f t="shared" ref="DI14:DI18" si="110">IFERROR(IF(DE14&gt;=1,INDEX($AA$8:$CT$19,MATCH($CW$2,$AA$8:$AA$19,0),MATCH(DF14,$AA$6:$CT$6,0)+2),0),0)</f>
        <v>0</v>
      </c>
      <c r="DJ14" s="380"/>
      <c r="DK14" s="380"/>
      <c r="DL14" s="388"/>
      <c r="DM14" s="391"/>
      <c r="DN14" s="392"/>
      <c r="DO14" s="390"/>
      <c r="DP14" s="393"/>
      <c r="DQ14" s="370"/>
      <c r="DR14" s="388"/>
      <c r="DS14" s="391"/>
      <c r="DT14" s="392"/>
      <c r="DU14" s="390"/>
      <c r="DV14" s="393"/>
      <c r="DW14" s="370"/>
      <c r="DX14" s="370"/>
      <c r="DY14" s="388"/>
      <c r="DZ14" s="391"/>
      <c r="EA14" s="392"/>
      <c r="EB14" s="390"/>
      <c r="EC14" s="393"/>
      <c r="ED14" s="380"/>
      <c r="EE14" s="376"/>
      <c r="EF14" s="371"/>
      <c r="EG14" s="371"/>
      <c r="EH14" s="371"/>
      <c r="EI14" s="377"/>
    </row>
    <row r="15" spans="1:139" ht="24.95" customHeight="1" x14ac:dyDescent="0.25">
      <c r="A15" s="383">
        <f ca="1">STUDENT!AC16</f>
        <v>0</v>
      </c>
      <c r="B15" s="383">
        <f ca="1">STUDENT!AD16</f>
        <v>0</v>
      </c>
      <c r="C15" s="383">
        <f ca="1">IFERROR(IF($Z15&gt;=1,INDEX(DALLY!$N$10:$KZ$54,40,MATCH($AA15,DALLY!$N$10:$KZ$10,0)+7),0),0)</f>
        <v>0</v>
      </c>
      <c r="D15" s="383">
        <f ca="1">IFERROR(IF($Z15&gt;=1,INDEX(DALLY!$N$10:$KZ$54,40,MATCH($AA15,DALLY!$N$10:$KZ$10,0)+8),0),0)</f>
        <v>0</v>
      </c>
      <c r="E15" s="383">
        <f ca="1">IFERROR(IF($Z15&gt;=1,INDEX(DALLY!$N$10:$KZ$54,39,MATCH($AA15,DALLY!$N$10:$KZ$10,0)+7),0),0)</f>
        <v>0</v>
      </c>
      <c r="F15" s="383">
        <f ca="1">IFERROR(IF($Z15&gt;=1,INDEX(DALLY!$N$10:$KZ$54,39,MATCH($AA15,DALLY!$N$10:$KZ$10,0)+8),0),0)</f>
        <v>0</v>
      </c>
      <c r="G15" s="383">
        <f ca="1">IFERROR(IF($Z15&gt;=1,INDEX(DALLY!$N$10:$KZ$54,G$4,MATCH($AA15,DALLY!$N$10:$KZ$10,0)+$G$5),0),0)</f>
        <v>0</v>
      </c>
      <c r="H15" s="383">
        <f ca="1">IFERROR(IF($Z15&gt;=1,INDEX(DALLY!$N$10:$KZ$54,H$4,MATCH($AA15,DALLY!$N$10:$KZ$10,0)+$H$5),0),0)</f>
        <v>0</v>
      </c>
      <c r="I15" s="383">
        <f ca="1">IFERROR(IF($Z15&gt;=1,INDEX(DALLY!$N$10:$KZ$54,I$4,MATCH($AA15,DALLY!$N$10:$KZ$10,0)+$G$5),0),0)</f>
        <v>0</v>
      </c>
      <c r="J15" s="383">
        <f ca="1">IFERROR(IF($Z15&gt;=1,INDEX(DALLY!$N$10:$KZ$54,J$4,MATCH($AA15,DALLY!$N$10:$KZ$10,0)+$H$5),0),0)</f>
        <v>0</v>
      </c>
      <c r="K15" s="383">
        <f ca="1">IFERROR(IF($Z15&gt;=1,INDEX(DALLY!$N$10:$KZ$54,K$4,MATCH($AA15,DALLY!$N$10:$KZ$10,0)+$G$5),0),0)</f>
        <v>0</v>
      </c>
      <c r="L15" s="383">
        <f ca="1">IFERROR(IF($Z15&gt;=1,INDEX(DALLY!$N$10:$KZ$54,L$4,MATCH($AA15,DALLY!$N$10:$KZ$10,0)+$H$5),0),0)</f>
        <v>0</v>
      </c>
      <c r="M15" s="383">
        <f ca="1">IFERROR(IF($Z15&gt;=1,INDEX(DALLY!$N$10:$KZ$54,M$4,MATCH($AA15,DALLY!$N$10:$KZ$10,0)+$G$5),0),0)</f>
        <v>0</v>
      </c>
      <c r="N15" s="383">
        <f ca="1">IFERROR(IF($Z15&gt;=1,INDEX(DALLY!$N$10:$KZ$54,N$4,MATCH($AA15,DALLY!$N$10:$KZ$10,0)+$H$5),0),0)</f>
        <v>0</v>
      </c>
      <c r="O15" s="383">
        <f ca="1">IFERROR(IF($Z15&gt;=1,INDEX(DALLY!$N$10:$KZ$54,O$4,MATCH($AA15,DALLY!$N$10:$KZ$10,0)+$G$5),0),0)</f>
        <v>0</v>
      </c>
      <c r="P15" s="383">
        <f ca="1">IFERROR(IF($Z15&gt;=1,INDEX(DALLY!$N$10:$KZ$54,P$4,MATCH($AA15,DALLY!$N$10:$KZ$10,0)+$H$5),0),0)</f>
        <v>0</v>
      </c>
      <c r="Q15" s="383">
        <f>HOME!L14-HOME!N14</f>
        <v>1.3100000000000005</v>
      </c>
      <c r="R15" s="383">
        <f>HOME!M14-HOME!O14</f>
        <v>1.9699999999999998</v>
      </c>
      <c r="S15" s="383">
        <f t="shared" ca="1" si="8"/>
        <v>0</v>
      </c>
      <c r="T15" s="394">
        <f t="shared" ca="1" si="9"/>
        <v>0</v>
      </c>
      <c r="U15" s="383">
        <f t="shared" ca="1" si="10"/>
        <v>0</v>
      </c>
      <c r="V15" s="383">
        <f ca="1">IFERROR(IF($Z15&gt;=1,INDEX(DALLY!$N$10:$KZ$54,38,MATCH($AA15,DALLY!$N$10:$KZ$10,0)+2),0),0)</f>
        <v>0</v>
      </c>
      <c r="W15" s="383">
        <f t="shared" ca="1" si="11"/>
        <v>0</v>
      </c>
      <c r="Z15" s="364">
        <f ca="1">PROFILE!G11</f>
        <v>8</v>
      </c>
      <c r="AA15" s="44" t="str">
        <f>PROFILE!H11</f>
        <v>दिसम्बर 2019</v>
      </c>
      <c r="AB15" s="363">
        <f t="shared" ca="1" si="12"/>
        <v>0</v>
      </c>
      <c r="AC15" s="369">
        <f t="shared" ca="1" si="13"/>
        <v>0</v>
      </c>
      <c r="AD15" s="361">
        <f t="shared" ca="1" si="14"/>
        <v>0</v>
      </c>
      <c r="AE15" s="363">
        <f t="shared" ca="1" si="15"/>
        <v>0</v>
      </c>
      <c r="AF15" s="369">
        <f t="shared" ref="AF15" ca="1" si="111">IF(AE15&gt;0,ROUNDUP(AG15/AE15,0),0)</f>
        <v>0</v>
      </c>
      <c r="AG15" s="361">
        <f t="shared" ca="1" si="17"/>
        <v>0</v>
      </c>
      <c r="AH15" s="363">
        <f t="shared" ca="1" si="18"/>
        <v>0</v>
      </c>
      <c r="AI15" s="369">
        <f t="shared" ref="AI15" ca="1" si="112">IF(AH15&gt;0,ROUNDUP(AJ15/AH15,0),0)</f>
        <v>0</v>
      </c>
      <c r="AJ15" s="361">
        <f t="shared" ca="1" si="20"/>
        <v>0</v>
      </c>
      <c r="AK15" s="363">
        <f t="shared" ca="1" si="21"/>
        <v>0</v>
      </c>
      <c r="AL15" s="369">
        <f t="shared" ref="AL15" ca="1" si="113">IF(AK15&gt;0,ROUNDUP(AM15/AK15,0),0)</f>
        <v>0</v>
      </c>
      <c r="AM15" s="361">
        <f t="shared" ca="1" si="23"/>
        <v>0</v>
      </c>
      <c r="AN15" s="363">
        <f t="shared" ca="1" si="24"/>
        <v>0</v>
      </c>
      <c r="AO15" s="369">
        <f t="shared" ref="AO15" ca="1" si="114">IF(AN15&gt;0,ROUNDUP(AP15/AN15,0),0)</f>
        <v>0</v>
      </c>
      <c r="AP15" s="361">
        <f t="shared" ca="1" si="26"/>
        <v>0</v>
      </c>
      <c r="AQ15" s="369">
        <f t="shared" ca="1" si="27"/>
        <v>0</v>
      </c>
      <c r="AR15" s="361">
        <f t="shared" ca="1" si="28"/>
        <v>0</v>
      </c>
      <c r="AS15" s="369">
        <f t="shared" ca="1" si="29"/>
        <v>0</v>
      </c>
      <c r="AT15" s="363">
        <f t="shared" ca="1" si="30"/>
        <v>0</v>
      </c>
      <c r="AU15" s="369">
        <f t="shared" ca="1" si="31"/>
        <v>0</v>
      </c>
      <c r="AV15" s="361">
        <f t="shared" ca="1" si="32"/>
        <v>0</v>
      </c>
      <c r="AW15" s="363">
        <f t="shared" ca="1" si="33"/>
        <v>0</v>
      </c>
      <c r="AX15" s="369">
        <f t="shared" ca="1" si="34"/>
        <v>0</v>
      </c>
      <c r="AY15" s="361">
        <f t="shared" ca="1" si="35"/>
        <v>0</v>
      </c>
      <c r="AZ15" s="363">
        <f t="shared" ca="1" si="36"/>
        <v>0</v>
      </c>
      <c r="BA15" s="369">
        <f t="shared" ca="1" si="37"/>
        <v>0</v>
      </c>
      <c r="BB15" s="361">
        <f t="shared" ca="1" si="38"/>
        <v>0</v>
      </c>
      <c r="BC15" s="363">
        <f t="shared" ca="1" si="39"/>
        <v>0</v>
      </c>
      <c r="BD15" s="369">
        <f t="shared" ca="1" si="40"/>
        <v>0</v>
      </c>
      <c r="BE15" s="361">
        <f t="shared" ca="1" si="41"/>
        <v>0</v>
      </c>
      <c r="BF15" s="363">
        <f t="shared" ca="1" si="42"/>
        <v>0</v>
      </c>
      <c r="BG15" s="369">
        <f t="shared" ca="1" si="43"/>
        <v>0</v>
      </c>
      <c r="BH15" s="369">
        <f t="shared" ca="1" si="44"/>
        <v>0</v>
      </c>
      <c r="BI15" s="369">
        <f t="shared" ca="1" si="45"/>
        <v>0</v>
      </c>
      <c r="BJ15" s="369">
        <f t="shared" ca="1" si="46"/>
        <v>0</v>
      </c>
      <c r="BK15" s="369">
        <f t="shared" ca="1" si="47"/>
        <v>0</v>
      </c>
      <c r="BL15" s="361">
        <f t="shared" ca="1" si="48"/>
        <v>0</v>
      </c>
      <c r="BM15" s="369">
        <f t="shared" ca="1" si="49"/>
        <v>0</v>
      </c>
      <c r="BN15" s="369">
        <f t="shared" ca="1" si="50"/>
        <v>0</v>
      </c>
      <c r="BO15" s="363">
        <f ca="1">IF($Z15&gt;=1,ROUND(($C15*HOME!P14+$D15*HOME!T14)/1000,1),0)</f>
        <v>0</v>
      </c>
      <c r="BP15" s="369">
        <f t="shared" ca="1" si="51"/>
        <v>0</v>
      </c>
      <c r="BQ15" s="369">
        <f t="shared" ca="1" si="52"/>
        <v>0</v>
      </c>
      <c r="BR15" s="363">
        <f ca="1">IF($Z15&gt;=1,ROUND(($C15*HOME!Q14+$D15*HOME!U14)/1000,1),0)</f>
        <v>0</v>
      </c>
      <c r="BS15" s="369">
        <f t="shared" ca="1" si="53"/>
        <v>0</v>
      </c>
      <c r="BT15" s="369">
        <f t="shared" ca="1" si="54"/>
        <v>0</v>
      </c>
      <c r="BU15" s="363">
        <f ca="1">IF($Z15&gt;=1,ROUND(($C15*HOME!R14+$D15*HOME!V14)/1000,1),0)</f>
        <v>0</v>
      </c>
      <c r="BV15" s="369">
        <f t="shared" ca="1" si="55"/>
        <v>0</v>
      </c>
      <c r="BW15" s="369">
        <f t="shared" ca="1" si="56"/>
        <v>0</v>
      </c>
      <c r="BX15" s="363">
        <f t="shared" ca="1" si="57"/>
        <v>0</v>
      </c>
      <c r="BY15" s="369">
        <f t="shared" ca="1" si="58"/>
        <v>0</v>
      </c>
      <c r="BZ15" s="369">
        <f t="shared" ca="1" si="59"/>
        <v>0</v>
      </c>
      <c r="CA15" s="369">
        <f t="shared" ca="1" si="60"/>
        <v>0</v>
      </c>
      <c r="CB15" s="361">
        <f t="shared" ca="1" si="61"/>
        <v>0</v>
      </c>
      <c r="CC15" s="369">
        <f t="shared" ca="1" si="62"/>
        <v>0</v>
      </c>
      <c r="CD15" s="369">
        <f t="shared" ca="1" si="63"/>
        <v>0</v>
      </c>
      <c r="CE15" s="361">
        <f t="shared" ca="1" si="64"/>
        <v>0</v>
      </c>
      <c r="CF15" s="369">
        <f t="shared" ca="1" si="65"/>
        <v>0</v>
      </c>
      <c r="CG15" s="369">
        <f t="shared" ca="1" si="66"/>
        <v>0</v>
      </c>
      <c r="CH15" s="361">
        <f t="shared" ca="1" si="67"/>
        <v>0</v>
      </c>
      <c r="CI15" s="369">
        <f t="shared" ca="1" si="68"/>
        <v>0</v>
      </c>
      <c r="CJ15" s="369">
        <f t="shared" ca="1" si="69"/>
        <v>0</v>
      </c>
      <c r="CK15" s="361">
        <f t="shared" ca="1" si="70"/>
        <v>0</v>
      </c>
      <c r="CL15" s="369">
        <f t="shared" ca="1" si="71"/>
        <v>0</v>
      </c>
      <c r="CM15" s="369">
        <f t="shared" ca="1" si="72"/>
        <v>0</v>
      </c>
      <c r="CN15" s="361">
        <f t="shared" ca="1" si="73"/>
        <v>0</v>
      </c>
      <c r="CO15" s="369">
        <f t="shared" ca="1" si="74"/>
        <v>0</v>
      </c>
      <c r="CP15" s="369">
        <f t="shared" ca="1" si="75"/>
        <v>0</v>
      </c>
      <c r="CQ15" s="363">
        <f ca="1">DATA!AH15+DATA!AJ15</f>
        <v>0</v>
      </c>
      <c r="CR15" s="361">
        <v>2</v>
      </c>
      <c r="CS15" s="361">
        <f t="shared" ca="1" si="76"/>
        <v>0</v>
      </c>
      <c r="CT15" s="362">
        <f t="shared" ca="1" si="77"/>
        <v>0</v>
      </c>
      <c r="CU15" s="362">
        <f ca="1">PAYMENT!AP15</f>
        <v>0</v>
      </c>
      <c r="CV15" s="362">
        <f t="shared" ca="1" si="78"/>
        <v>0</v>
      </c>
      <c r="CY15" s="388">
        <f t="shared" si="93"/>
        <v>0</v>
      </c>
      <c r="CZ15" s="391" t="str">
        <f>IF($CW$3&gt;=5,CH$6,"")</f>
        <v/>
      </c>
      <c r="DA15" s="392">
        <f t="shared" si="83"/>
        <v>0</v>
      </c>
      <c r="DB15" s="390">
        <f t="shared" si="84"/>
        <v>0</v>
      </c>
      <c r="DC15" s="393">
        <f t="shared" si="85"/>
        <v>0</v>
      </c>
      <c r="DD15" s="370"/>
      <c r="DE15" s="388"/>
      <c r="DF15" s="391"/>
      <c r="DG15" s="392">
        <f t="shared" si="108"/>
        <v>0</v>
      </c>
      <c r="DH15" s="390">
        <f t="shared" si="109"/>
        <v>0</v>
      </c>
      <c r="DI15" s="393">
        <f t="shared" si="110"/>
        <v>0</v>
      </c>
      <c r="DJ15" s="380"/>
      <c r="DK15" s="380"/>
      <c r="DL15" s="388"/>
      <c r="DM15" s="391"/>
      <c r="DN15" s="392"/>
      <c r="DO15" s="390"/>
      <c r="DP15" s="393"/>
      <c r="DQ15" s="370"/>
      <c r="DR15" s="388"/>
      <c r="DS15" s="391"/>
      <c r="DT15" s="392"/>
      <c r="DU15" s="390"/>
      <c r="DV15" s="393"/>
      <c r="DW15" s="370"/>
      <c r="DX15" s="370"/>
      <c r="DY15" s="388"/>
      <c r="DZ15" s="391"/>
      <c r="EA15" s="392"/>
      <c r="EB15" s="390"/>
      <c r="EC15" s="393"/>
      <c r="ED15" s="380"/>
      <c r="EE15" s="376"/>
      <c r="EF15" s="371"/>
      <c r="EG15" s="371"/>
      <c r="EH15" s="371"/>
      <c r="EI15" s="377"/>
    </row>
    <row r="16" spans="1:139" ht="24.95" customHeight="1" x14ac:dyDescent="0.25">
      <c r="A16" s="383">
        <f ca="1">STUDENT!AC17</f>
        <v>0</v>
      </c>
      <c r="B16" s="383">
        <f ca="1">STUDENT!AD17</f>
        <v>0</v>
      </c>
      <c r="C16" s="383">
        <f ca="1">IFERROR(IF($Z16&gt;=1,INDEX(DALLY!$N$10:$KZ$54,40,MATCH($AA16,DALLY!$N$10:$KZ$10,0)+7),0),0)</f>
        <v>0</v>
      </c>
      <c r="D16" s="383">
        <f ca="1">IFERROR(IF($Z16&gt;=1,INDEX(DALLY!$N$10:$KZ$54,40,MATCH($AA16,DALLY!$N$10:$KZ$10,0)+8),0),0)</f>
        <v>0</v>
      </c>
      <c r="E16" s="383">
        <f ca="1">IFERROR(IF($Z16&gt;=1,INDEX(DALLY!$N$10:$KZ$54,39,MATCH($AA16,DALLY!$N$10:$KZ$10,0)+7),0),0)</f>
        <v>0</v>
      </c>
      <c r="F16" s="383">
        <f ca="1">IFERROR(IF($Z16&gt;=1,INDEX(DALLY!$N$10:$KZ$54,39,MATCH($AA16,DALLY!$N$10:$KZ$10,0)+8),0),0)</f>
        <v>0</v>
      </c>
      <c r="G16" s="383">
        <f ca="1">IFERROR(IF($Z16&gt;=1,INDEX(DALLY!$N$10:$KZ$54,G$4,MATCH($AA16,DALLY!$N$10:$KZ$10,0)+$G$5),0),0)</f>
        <v>0</v>
      </c>
      <c r="H16" s="383">
        <f ca="1">IFERROR(IF($Z16&gt;=1,INDEX(DALLY!$N$10:$KZ$54,H$4,MATCH($AA16,DALLY!$N$10:$KZ$10,0)+$H$5),0),0)</f>
        <v>0</v>
      </c>
      <c r="I16" s="383">
        <f ca="1">IFERROR(IF($Z16&gt;=1,INDEX(DALLY!$N$10:$KZ$54,I$4,MATCH($AA16,DALLY!$N$10:$KZ$10,0)+$G$5),0),0)</f>
        <v>0</v>
      </c>
      <c r="J16" s="383">
        <f ca="1">IFERROR(IF($Z16&gt;=1,INDEX(DALLY!$N$10:$KZ$54,J$4,MATCH($AA16,DALLY!$N$10:$KZ$10,0)+$H$5),0),0)</f>
        <v>0</v>
      </c>
      <c r="K16" s="383">
        <f ca="1">IFERROR(IF($Z16&gt;=1,INDEX(DALLY!$N$10:$KZ$54,K$4,MATCH($AA16,DALLY!$N$10:$KZ$10,0)+$G$5),0),0)</f>
        <v>0</v>
      </c>
      <c r="L16" s="383">
        <f ca="1">IFERROR(IF($Z16&gt;=1,INDEX(DALLY!$N$10:$KZ$54,L$4,MATCH($AA16,DALLY!$N$10:$KZ$10,0)+$H$5),0),0)</f>
        <v>0</v>
      </c>
      <c r="M16" s="383">
        <f ca="1">IFERROR(IF($Z16&gt;=1,INDEX(DALLY!$N$10:$KZ$54,M$4,MATCH($AA16,DALLY!$N$10:$KZ$10,0)+$G$5),0),0)</f>
        <v>0</v>
      </c>
      <c r="N16" s="383">
        <f ca="1">IFERROR(IF($Z16&gt;=1,INDEX(DALLY!$N$10:$KZ$54,N$4,MATCH($AA16,DALLY!$N$10:$KZ$10,0)+$H$5),0),0)</f>
        <v>0</v>
      </c>
      <c r="O16" s="383">
        <f ca="1">IFERROR(IF($Z16&gt;=1,INDEX(DALLY!$N$10:$KZ$54,O$4,MATCH($AA16,DALLY!$N$10:$KZ$10,0)+$G$5),0),0)</f>
        <v>0</v>
      </c>
      <c r="P16" s="383">
        <f ca="1">IFERROR(IF($Z16&gt;=1,INDEX(DALLY!$N$10:$KZ$54,P$4,MATCH($AA16,DALLY!$N$10:$KZ$10,0)+$H$5),0),0)</f>
        <v>0</v>
      </c>
      <c r="Q16" s="383">
        <f>HOME!L15-HOME!N15</f>
        <v>1.3100000000000005</v>
      </c>
      <c r="R16" s="383">
        <f>HOME!M15-HOME!O15</f>
        <v>1.9699999999999998</v>
      </c>
      <c r="S16" s="383">
        <f t="shared" ca="1" si="8"/>
        <v>0</v>
      </c>
      <c r="T16" s="394">
        <f t="shared" ca="1" si="9"/>
        <v>0</v>
      </c>
      <c r="U16" s="383">
        <f t="shared" ca="1" si="10"/>
        <v>0</v>
      </c>
      <c r="V16" s="383">
        <f ca="1">IFERROR(IF($Z16&gt;=1,INDEX(DALLY!$N$10:$KZ$54,38,MATCH($AA16,DALLY!$N$10:$KZ$10,0)+2),0),0)</f>
        <v>0</v>
      </c>
      <c r="W16" s="383">
        <f t="shared" ca="1" si="11"/>
        <v>0</v>
      </c>
      <c r="Z16" s="364">
        <f ca="1">PROFILE!G12</f>
        <v>9</v>
      </c>
      <c r="AA16" s="44" t="str">
        <f>PROFILE!H12</f>
        <v>जनवरी 2020</v>
      </c>
      <c r="AB16" s="363">
        <f t="shared" ca="1" si="12"/>
        <v>0</v>
      </c>
      <c r="AC16" s="369">
        <f t="shared" ca="1" si="13"/>
        <v>0</v>
      </c>
      <c r="AD16" s="361">
        <f t="shared" ca="1" si="14"/>
        <v>0</v>
      </c>
      <c r="AE16" s="363">
        <f t="shared" ca="1" si="15"/>
        <v>0</v>
      </c>
      <c r="AF16" s="369">
        <f t="shared" ref="AF16" ca="1" si="115">IF(AE16&gt;0,ROUNDUP(AG16/AE16,0),0)</f>
        <v>0</v>
      </c>
      <c r="AG16" s="361">
        <f t="shared" ca="1" si="17"/>
        <v>0</v>
      </c>
      <c r="AH16" s="363">
        <f t="shared" ca="1" si="18"/>
        <v>0</v>
      </c>
      <c r="AI16" s="369">
        <f t="shared" ref="AI16" ca="1" si="116">IF(AH16&gt;0,ROUNDUP(AJ16/AH16,0),0)</f>
        <v>0</v>
      </c>
      <c r="AJ16" s="361">
        <f t="shared" ca="1" si="20"/>
        <v>0</v>
      </c>
      <c r="AK16" s="363">
        <f t="shared" ca="1" si="21"/>
        <v>0</v>
      </c>
      <c r="AL16" s="369">
        <f t="shared" ref="AL16" ca="1" si="117">IF(AK16&gt;0,ROUNDUP(AM16/AK16,0),0)</f>
        <v>0</v>
      </c>
      <c r="AM16" s="361">
        <f t="shared" ca="1" si="23"/>
        <v>0</v>
      </c>
      <c r="AN16" s="363">
        <f t="shared" ca="1" si="24"/>
        <v>0</v>
      </c>
      <c r="AO16" s="369">
        <f t="shared" ref="AO16" ca="1" si="118">IF(AN16&gt;0,ROUNDUP(AP16/AN16,0),0)</f>
        <v>0</v>
      </c>
      <c r="AP16" s="361">
        <f t="shared" ca="1" si="26"/>
        <v>0</v>
      </c>
      <c r="AQ16" s="369">
        <f t="shared" ca="1" si="27"/>
        <v>0</v>
      </c>
      <c r="AR16" s="361">
        <f t="shared" ca="1" si="28"/>
        <v>0</v>
      </c>
      <c r="AS16" s="369">
        <f t="shared" ca="1" si="29"/>
        <v>0</v>
      </c>
      <c r="AT16" s="363">
        <f t="shared" ca="1" si="30"/>
        <v>0</v>
      </c>
      <c r="AU16" s="369">
        <f t="shared" ca="1" si="31"/>
        <v>0</v>
      </c>
      <c r="AV16" s="361">
        <f t="shared" ca="1" si="32"/>
        <v>0</v>
      </c>
      <c r="AW16" s="363">
        <f t="shared" ca="1" si="33"/>
        <v>0</v>
      </c>
      <c r="AX16" s="369">
        <f t="shared" ca="1" si="34"/>
        <v>0</v>
      </c>
      <c r="AY16" s="361">
        <f t="shared" ca="1" si="35"/>
        <v>0</v>
      </c>
      <c r="AZ16" s="363">
        <f t="shared" ca="1" si="36"/>
        <v>0</v>
      </c>
      <c r="BA16" s="369">
        <f t="shared" ca="1" si="37"/>
        <v>0</v>
      </c>
      <c r="BB16" s="361">
        <f t="shared" ca="1" si="38"/>
        <v>0</v>
      </c>
      <c r="BC16" s="363">
        <f t="shared" ca="1" si="39"/>
        <v>0</v>
      </c>
      <c r="BD16" s="369">
        <f t="shared" ca="1" si="40"/>
        <v>0</v>
      </c>
      <c r="BE16" s="361">
        <f t="shared" ca="1" si="41"/>
        <v>0</v>
      </c>
      <c r="BF16" s="363">
        <f t="shared" ca="1" si="42"/>
        <v>0</v>
      </c>
      <c r="BG16" s="369">
        <f t="shared" ca="1" si="43"/>
        <v>0</v>
      </c>
      <c r="BH16" s="369">
        <f t="shared" ca="1" si="44"/>
        <v>0</v>
      </c>
      <c r="BI16" s="369">
        <f t="shared" ca="1" si="45"/>
        <v>0</v>
      </c>
      <c r="BJ16" s="369">
        <f t="shared" ca="1" si="46"/>
        <v>0</v>
      </c>
      <c r="BK16" s="369">
        <f t="shared" ca="1" si="47"/>
        <v>0</v>
      </c>
      <c r="BL16" s="361">
        <f t="shared" ca="1" si="48"/>
        <v>0</v>
      </c>
      <c r="BM16" s="369">
        <f t="shared" ca="1" si="49"/>
        <v>0</v>
      </c>
      <c r="BN16" s="369">
        <f t="shared" ca="1" si="50"/>
        <v>0</v>
      </c>
      <c r="BO16" s="363">
        <f ca="1">IF($Z16&gt;=1,ROUND(($C16*HOME!P15+$D16*HOME!T15)/1000,1),0)</f>
        <v>0</v>
      </c>
      <c r="BP16" s="369">
        <f t="shared" ca="1" si="51"/>
        <v>0</v>
      </c>
      <c r="BQ16" s="369">
        <f t="shared" ca="1" si="52"/>
        <v>0</v>
      </c>
      <c r="BR16" s="363">
        <f ca="1">IF($Z16&gt;=1,ROUND(($C16*HOME!Q15+$D16*HOME!U15)/1000,1),0)</f>
        <v>0</v>
      </c>
      <c r="BS16" s="369">
        <f t="shared" ca="1" si="53"/>
        <v>0</v>
      </c>
      <c r="BT16" s="369">
        <f t="shared" ca="1" si="54"/>
        <v>0</v>
      </c>
      <c r="BU16" s="363">
        <f ca="1">IF($Z16&gt;=1,ROUND(($C16*HOME!R15+$D16*HOME!V15)/1000,1),0)</f>
        <v>0</v>
      </c>
      <c r="BV16" s="369">
        <f t="shared" ca="1" si="55"/>
        <v>0</v>
      </c>
      <c r="BW16" s="369">
        <f t="shared" ca="1" si="56"/>
        <v>0</v>
      </c>
      <c r="BX16" s="363">
        <f t="shared" ca="1" si="57"/>
        <v>0</v>
      </c>
      <c r="BY16" s="369">
        <f t="shared" ca="1" si="58"/>
        <v>0</v>
      </c>
      <c r="BZ16" s="369">
        <f t="shared" ca="1" si="59"/>
        <v>0</v>
      </c>
      <c r="CA16" s="369">
        <f t="shared" ca="1" si="60"/>
        <v>0</v>
      </c>
      <c r="CB16" s="361">
        <f t="shared" ca="1" si="61"/>
        <v>0</v>
      </c>
      <c r="CC16" s="369">
        <f t="shared" ca="1" si="62"/>
        <v>0</v>
      </c>
      <c r="CD16" s="369">
        <f t="shared" ca="1" si="63"/>
        <v>0</v>
      </c>
      <c r="CE16" s="361">
        <f t="shared" ca="1" si="64"/>
        <v>0</v>
      </c>
      <c r="CF16" s="369">
        <f t="shared" ca="1" si="65"/>
        <v>0</v>
      </c>
      <c r="CG16" s="369">
        <f t="shared" ca="1" si="66"/>
        <v>0</v>
      </c>
      <c r="CH16" s="361">
        <f t="shared" ca="1" si="67"/>
        <v>0</v>
      </c>
      <c r="CI16" s="369">
        <f t="shared" ca="1" si="68"/>
        <v>0</v>
      </c>
      <c r="CJ16" s="369">
        <f t="shared" ca="1" si="69"/>
        <v>0</v>
      </c>
      <c r="CK16" s="361">
        <f t="shared" ca="1" si="70"/>
        <v>0</v>
      </c>
      <c r="CL16" s="369">
        <f t="shared" ca="1" si="71"/>
        <v>0</v>
      </c>
      <c r="CM16" s="369">
        <f t="shared" ca="1" si="72"/>
        <v>0</v>
      </c>
      <c r="CN16" s="361">
        <f t="shared" ca="1" si="73"/>
        <v>0</v>
      </c>
      <c r="CO16" s="369">
        <f t="shared" ca="1" si="74"/>
        <v>0</v>
      </c>
      <c r="CP16" s="369">
        <f t="shared" ca="1" si="75"/>
        <v>0</v>
      </c>
      <c r="CQ16" s="363">
        <f ca="1">DATA!AH16+DATA!AJ16</f>
        <v>0</v>
      </c>
      <c r="CR16" s="361">
        <v>2</v>
      </c>
      <c r="CS16" s="361">
        <f t="shared" ca="1" si="76"/>
        <v>0</v>
      </c>
      <c r="CT16" s="362">
        <f t="shared" ca="1" si="77"/>
        <v>0</v>
      </c>
      <c r="CU16" s="362">
        <f ca="1">PAYMENT!AP16</f>
        <v>0</v>
      </c>
      <c r="CV16" s="362">
        <f t="shared" ca="1" si="78"/>
        <v>0</v>
      </c>
      <c r="CY16" s="388">
        <f t="shared" si="93"/>
        <v>0</v>
      </c>
      <c r="CZ16" s="391" t="str">
        <f>IF($CW$3&gt;=5,CK$6,"")</f>
        <v/>
      </c>
      <c r="DA16" s="392">
        <f t="shared" si="83"/>
        <v>0</v>
      </c>
      <c r="DB16" s="390">
        <f t="shared" si="84"/>
        <v>0</v>
      </c>
      <c r="DC16" s="393">
        <f t="shared" si="85"/>
        <v>0</v>
      </c>
      <c r="DD16" s="370"/>
      <c r="DE16" s="388"/>
      <c r="DF16" s="391"/>
      <c r="DG16" s="392">
        <f t="shared" si="108"/>
        <v>0</v>
      </c>
      <c r="DH16" s="390">
        <f t="shared" si="109"/>
        <v>0</v>
      </c>
      <c r="DI16" s="393">
        <f t="shared" si="110"/>
        <v>0</v>
      </c>
      <c r="DJ16" s="380"/>
      <c r="DK16" s="380"/>
      <c r="DL16" s="388"/>
      <c r="DM16" s="391"/>
      <c r="DN16" s="392"/>
      <c r="DO16" s="390"/>
      <c r="DP16" s="393"/>
      <c r="DQ16" s="370"/>
      <c r="DR16" s="388"/>
      <c r="DS16" s="391"/>
      <c r="DT16" s="392"/>
      <c r="DU16" s="390"/>
      <c r="DV16" s="393"/>
      <c r="DW16" s="370"/>
      <c r="DX16" s="370"/>
      <c r="DY16" s="388"/>
      <c r="DZ16" s="391"/>
      <c r="EA16" s="392"/>
      <c r="EB16" s="390"/>
      <c r="EC16" s="393"/>
      <c r="ED16" s="380"/>
      <c r="EE16" s="376"/>
      <c r="EF16" s="371"/>
      <c r="EG16" s="371"/>
      <c r="EH16" s="371"/>
      <c r="EI16" s="377"/>
    </row>
    <row r="17" spans="1:139" ht="24.95" customHeight="1" x14ac:dyDescent="0.25">
      <c r="A17" s="383">
        <f ca="1">STUDENT!AC18</f>
        <v>0</v>
      </c>
      <c r="B17" s="383">
        <f ca="1">STUDENT!AD18</f>
        <v>0</v>
      </c>
      <c r="C17" s="383">
        <f ca="1">IFERROR(IF($Z17&gt;=1,INDEX(DALLY!$N$10:$KZ$54,40,MATCH($AA17,DALLY!$N$10:$KZ$10,0)+7),0),0)</f>
        <v>0</v>
      </c>
      <c r="D17" s="383">
        <f ca="1">IFERROR(IF($Z17&gt;=1,INDEX(DALLY!$N$10:$KZ$54,40,MATCH($AA17,DALLY!$N$10:$KZ$10,0)+8),0),0)</f>
        <v>0</v>
      </c>
      <c r="E17" s="383">
        <f ca="1">IFERROR(IF($Z17&gt;=1,INDEX(DALLY!$N$10:$KZ$54,39,MATCH($AA17,DALLY!$N$10:$KZ$10,0)+7),0),0)</f>
        <v>0</v>
      </c>
      <c r="F17" s="383">
        <f ca="1">IFERROR(IF($Z17&gt;=1,INDEX(DALLY!$N$10:$KZ$54,39,MATCH($AA17,DALLY!$N$10:$KZ$10,0)+8),0),0)</f>
        <v>0</v>
      </c>
      <c r="G17" s="383">
        <f ca="1">IFERROR(IF($Z17&gt;=1,INDEX(DALLY!$N$10:$KZ$54,G$4,MATCH($AA17,DALLY!$N$10:$KZ$10,0)+$G$5),0),0)</f>
        <v>0</v>
      </c>
      <c r="H17" s="383">
        <f ca="1">IFERROR(IF($Z17&gt;=1,INDEX(DALLY!$N$10:$KZ$54,H$4,MATCH($AA17,DALLY!$N$10:$KZ$10,0)+$H$5),0),0)</f>
        <v>0</v>
      </c>
      <c r="I17" s="383">
        <f ca="1">IFERROR(IF($Z17&gt;=1,INDEX(DALLY!$N$10:$KZ$54,I$4,MATCH($AA17,DALLY!$N$10:$KZ$10,0)+$G$5),0),0)</f>
        <v>0</v>
      </c>
      <c r="J17" s="383">
        <f ca="1">IFERROR(IF($Z17&gt;=1,INDEX(DALLY!$N$10:$KZ$54,J$4,MATCH($AA17,DALLY!$N$10:$KZ$10,0)+$H$5),0),0)</f>
        <v>0</v>
      </c>
      <c r="K17" s="383">
        <f ca="1">IFERROR(IF($Z17&gt;=1,INDEX(DALLY!$N$10:$KZ$54,K$4,MATCH($AA17,DALLY!$N$10:$KZ$10,0)+$G$5),0),0)</f>
        <v>0</v>
      </c>
      <c r="L17" s="383">
        <f ca="1">IFERROR(IF($Z17&gt;=1,INDEX(DALLY!$N$10:$KZ$54,L$4,MATCH($AA17,DALLY!$N$10:$KZ$10,0)+$H$5),0),0)</f>
        <v>0</v>
      </c>
      <c r="M17" s="383">
        <f ca="1">IFERROR(IF($Z17&gt;=1,INDEX(DALLY!$N$10:$KZ$54,M$4,MATCH($AA17,DALLY!$N$10:$KZ$10,0)+$G$5),0),0)</f>
        <v>0</v>
      </c>
      <c r="N17" s="383">
        <f ca="1">IFERROR(IF($Z17&gt;=1,INDEX(DALLY!$N$10:$KZ$54,N$4,MATCH($AA17,DALLY!$N$10:$KZ$10,0)+$H$5),0),0)</f>
        <v>0</v>
      </c>
      <c r="O17" s="383">
        <f ca="1">IFERROR(IF($Z17&gt;=1,INDEX(DALLY!$N$10:$KZ$54,O$4,MATCH($AA17,DALLY!$N$10:$KZ$10,0)+$G$5),0),0)</f>
        <v>0</v>
      </c>
      <c r="P17" s="383">
        <f ca="1">IFERROR(IF($Z17&gt;=1,INDEX(DALLY!$N$10:$KZ$54,P$4,MATCH($AA17,DALLY!$N$10:$KZ$10,0)+$H$5),0),0)</f>
        <v>0</v>
      </c>
      <c r="Q17" s="383">
        <f>HOME!L16-HOME!N16</f>
        <v>1.3100000000000005</v>
      </c>
      <c r="R17" s="383">
        <f>HOME!M16-HOME!O16</f>
        <v>1.9699999999999998</v>
      </c>
      <c r="S17" s="383">
        <f t="shared" ca="1" si="8"/>
        <v>0</v>
      </c>
      <c r="T17" s="394">
        <f t="shared" ca="1" si="9"/>
        <v>0</v>
      </c>
      <c r="U17" s="383">
        <f t="shared" ca="1" si="10"/>
        <v>0</v>
      </c>
      <c r="V17" s="383">
        <f ca="1">IFERROR(IF($Z17&gt;=1,INDEX(DALLY!$N$10:$KZ$54,38,MATCH($AA17,DALLY!$N$10:$KZ$10,0)+2),0),0)</f>
        <v>0</v>
      </c>
      <c r="W17" s="383">
        <f t="shared" ca="1" si="11"/>
        <v>0</v>
      </c>
      <c r="Z17" s="364">
        <f ca="1">PROFILE!G13</f>
        <v>0</v>
      </c>
      <c r="AA17" s="44" t="str">
        <f>PROFILE!H13</f>
        <v>फरवरी 2020</v>
      </c>
      <c r="AB17" s="363">
        <f t="shared" ca="1" si="12"/>
        <v>0</v>
      </c>
      <c r="AC17" s="369">
        <f t="shared" ca="1" si="13"/>
        <v>0</v>
      </c>
      <c r="AD17" s="361">
        <f t="shared" ca="1" si="14"/>
        <v>0</v>
      </c>
      <c r="AE17" s="363">
        <f t="shared" ca="1" si="15"/>
        <v>0</v>
      </c>
      <c r="AF17" s="369">
        <f t="shared" ref="AF17" ca="1" si="119">IF(AE17&gt;0,ROUNDUP(AG17/AE17,0),0)</f>
        <v>0</v>
      </c>
      <c r="AG17" s="361">
        <f t="shared" ca="1" si="17"/>
        <v>0</v>
      </c>
      <c r="AH17" s="363">
        <f t="shared" ca="1" si="18"/>
        <v>0</v>
      </c>
      <c r="AI17" s="369">
        <f t="shared" ref="AI17" ca="1" si="120">IF(AH17&gt;0,ROUNDUP(AJ17/AH17,0),0)</f>
        <v>0</v>
      </c>
      <c r="AJ17" s="361">
        <f t="shared" ca="1" si="20"/>
        <v>0</v>
      </c>
      <c r="AK17" s="363">
        <f t="shared" ca="1" si="21"/>
        <v>0</v>
      </c>
      <c r="AL17" s="369">
        <f t="shared" ref="AL17" ca="1" si="121">IF(AK17&gt;0,ROUNDUP(AM17/AK17,0),0)</f>
        <v>0</v>
      </c>
      <c r="AM17" s="361">
        <f t="shared" ca="1" si="23"/>
        <v>0</v>
      </c>
      <c r="AN17" s="363">
        <f t="shared" ca="1" si="24"/>
        <v>0</v>
      </c>
      <c r="AO17" s="369">
        <f t="shared" ref="AO17" ca="1" si="122">IF(AN17&gt;0,ROUNDUP(AP17/AN17,0),0)</f>
        <v>0</v>
      </c>
      <c r="AP17" s="361">
        <f t="shared" ca="1" si="26"/>
        <v>0</v>
      </c>
      <c r="AQ17" s="369">
        <f t="shared" ca="1" si="27"/>
        <v>0</v>
      </c>
      <c r="AR17" s="361">
        <f t="shared" ca="1" si="28"/>
        <v>0</v>
      </c>
      <c r="AS17" s="369">
        <f t="shared" ca="1" si="29"/>
        <v>0</v>
      </c>
      <c r="AT17" s="363">
        <f t="shared" ca="1" si="30"/>
        <v>0</v>
      </c>
      <c r="AU17" s="369">
        <f t="shared" ca="1" si="31"/>
        <v>0</v>
      </c>
      <c r="AV17" s="361">
        <f t="shared" ca="1" si="32"/>
        <v>0</v>
      </c>
      <c r="AW17" s="363">
        <f t="shared" ca="1" si="33"/>
        <v>0</v>
      </c>
      <c r="AX17" s="369">
        <f t="shared" ca="1" si="34"/>
        <v>0</v>
      </c>
      <c r="AY17" s="361">
        <f t="shared" ca="1" si="35"/>
        <v>0</v>
      </c>
      <c r="AZ17" s="363">
        <f t="shared" ca="1" si="36"/>
        <v>0</v>
      </c>
      <c r="BA17" s="369">
        <f t="shared" ca="1" si="37"/>
        <v>0</v>
      </c>
      <c r="BB17" s="361">
        <f t="shared" ca="1" si="38"/>
        <v>0</v>
      </c>
      <c r="BC17" s="363">
        <f t="shared" ca="1" si="39"/>
        <v>0</v>
      </c>
      <c r="BD17" s="369">
        <f t="shared" ca="1" si="40"/>
        <v>0</v>
      </c>
      <c r="BE17" s="361">
        <f t="shared" ca="1" si="41"/>
        <v>0</v>
      </c>
      <c r="BF17" s="363">
        <f t="shared" ca="1" si="42"/>
        <v>0</v>
      </c>
      <c r="BG17" s="369">
        <f t="shared" ca="1" si="43"/>
        <v>0</v>
      </c>
      <c r="BH17" s="369">
        <f t="shared" ca="1" si="44"/>
        <v>0</v>
      </c>
      <c r="BI17" s="369">
        <f t="shared" ca="1" si="45"/>
        <v>0</v>
      </c>
      <c r="BJ17" s="369">
        <f t="shared" ca="1" si="46"/>
        <v>0</v>
      </c>
      <c r="BK17" s="369">
        <f t="shared" ca="1" si="47"/>
        <v>0</v>
      </c>
      <c r="BL17" s="361">
        <f t="shared" ca="1" si="48"/>
        <v>0</v>
      </c>
      <c r="BM17" s="369">
        <f t="shared" ca="1" si="49"/>
        <v>0</v>
      </c>
      <c r="BN17" s="369">
        <f t="shared" ca="1" si="50"/>
        <v>0</v>
      </c>
      <c r="BO17" s="363">
        <f ca="1">IF($Z17&gt;=1,ROUND(($C17*HOME!P16+$D17*HOME!T16)/1000,1),0)</f>
        <v>0</v>
      </c>
      <c r="BP17" s="369">
        <f t="shared" ca="1" si="51"/>
        <v>0</v>
      </c>
      <c r="BQ17" s="369">
        <f t="shared" ca="1" si="52"/>
        <v>0</v>
      </c>
      <c r="BR17" s="363">
        <f ca="1">IF($Z17&gt;=1,ROUND(($C17*HOME!Q16+$D17*HOME!U16)/1000,1),0)</f>
        <v>0</v>
      </c>
      <c r="BS17" s="369">
        <f t="shared" ca="1" si="53"/>
        <v>0</v>
      </c>
      <c r="BT17" s="369">
        <f t="shared" ca="1" si="54"/>
        <v>0</v>
      </c>
      <c r="BU17" s="363">
        <f ca="1">IF($Z17&gt;=1,ROUND(($C17*HOME!R16+$D17*HOME!V16)/1000,1),0)</f>
        <v>0</v>
      </c>
      <c r="BV17" s="369">
        <f t="shared" ca="1" si="55"/>
        <v>0</v>
      </c>
      <c r="BW17" s="369">
        <f t="shared" ca="1" si="56"/>
        <v>0</v>
      </c>
      <c r="BX17" s="363">
        <f t="shared" ca="1" si="57"/>
        <v>0</v>
      </c>
      <c r="BY17" s="369">
        <f t="shared" ca="1" si="58"/>
        <v>0</v>
      </c>
      <c r="BZ17" s="369">
        <f t="shared" ca="1" si="59"/>
        <v>0</v>
      </c>
      <c r="CA17" s="369">
        <f t="shared" ca="1" si="60"/>
        <v>0</v>
      </c>
      <c r="CB17" s="361">
        <f t="shared" ca="1" si="61"/>
        <v>0</v>
      </c>
      <c r="CC17" s="369">
        <f t="shared" ca="1" si="62"/>
        <v>0</v>
      </c>
      <c r="CD17" s="369">
        <f t="shared" ca="1" si="63"/>
        <v>0</v>
      </c>
      <c r="CE17" s="361">
        <f t="shared" ca="1" si="64"/>
        <v>0</v>
      </c>
      <c r="CF17" s="369">
        <f t="shared" ca="1" si="65"/>
        <v>0</v>
      </c>
      <c r="CG17" s="369">
        <f t="shared" ca="1" si="66"/>
        <v>0</v>
      </c>
      <c r="CH17" s="361">
        <f t="shared" ca="1" si="67"/>
        <v>0</v>
      </c>
      <c r="CI17" s="369">
        <f t="shared" ca="1" si="68"/>
        <v>0</v>
      </c>
      <c r="CJ17" s="369">
        <f t="shared" ca="1" si="69"/>
        <v>0</v>
      </c>
      <c r="CK17" s="361">
        <f t="shared" ca="1" si="70"/>
        <v>0</v>
      </c>
      <c r="CL17" s="369">
        <f t="shared" ca="1" si="71"/>
        <v>0</v>
      </c>
      <c r="CM17" s="369">
        <f t="shared" ca="1" si="72"/>
        <v>0</v>
      </c>
      <c r="CN17" s="361">
        <f t="shared" ca="1" si="73"/>
        <v>0</v>
      </c>
      <c r="CO17" s="369">
        <f t="shared" ca="1" si="74"/>
        <v>0</v>
      </c>
      <c r="CP17" s="369">
        <f t="shared" ca="1" si="75"/>
        <v>0</v>
      </c>
      <c r="CQ17" s="363">
        <f ca="1">DATA!AH17+DATA!AJ17</f>
        <v>0</v>
      </c>
      <c r="CR17" s="361">
        <v>2</v>
      </c>
      <c r="CS17" s="361">
        <f t="shared" ca="1" si="76"/>
        <v>0</v>
      </c>
      <c r="CT17" s="362">
        <f t="shared" ca="1" si="77"/>
        <v>0</v>
      </c>
      <c r="CU17" s="362">
        <f ca="1">PAYMENT!AP17</f>
        <v>0</v>
      </c>
      <c r="CV17" s="362">
        <f t="shared" ca="1" si="78"/>
        <v>0</v>
      </c>
      <c r="CY17" s="388">
        <f t="shared" si="93"/>
        <v>0</v>
      </c>
      <c r="CZ17" s="391" t="str">
        <f>IF($CW$3&gt;=5,CN$6,"")</f>
        <v/>
      </c>
      <c r="DA17" s="392">
        <f t="shared" si="83"/>
        <v>0</v>
      </c>
      <c r="DB17" s="390">
        <f t="shared" si="84"/>
        <v>0</v>
      </c>
      <c r="DC17" s="393">
        <f t="shared" si="85"/>
        <v>0</v>
      </c>
      <c r="DD17" s="380"/>
      <c r="DE17" s="388"/>
      <c r="DF17" s="391"/>
      <c r="DG17" s="392">
        <f t="shared" si="108"/>
        <v>0</v>
      </c>
      <c r="DH17" s="390">
        <f t="shared" si="109"/>
        <v>0</v>
      </c>
      <c r="DI17" s="393">
        <f t="shared" si="110"/>
        <v>0</v>
      </c>
      <c r="DJ17" s="370"/>
      <c r="DK17" s="370"/>
      <c r="DL17" s="388"/>
      <c r="DM17" s="391"/>
      <c r="DN17" s="392"/>
      <c r="DO17" s="390"/>
      <c r="DP17" s="393"/>
      <c r="DQ17" s="370"/>
      <c r="DR17" s="388"/>
      <c r="DS17" s="391"/>
      <c r="DT17" s="392"/>
      <c r="DU17" s="390"/>
      <c r="DV17" s="393"/>
      <c r="DW17" s="380"/>
      <c r="DX17" s="380"/>
      <c r="DY17" s="388"/>
      <c r="DZ17" s="391"/>
      <c r="EA17" s="392"/>
      <c r="EB17" s="390"/>
      <c r="EC17" s="393"/>
      <c r="ED17" s="370"/>
      <c r="EE17" s="376"/>
      <c r="EF17" s="371"/>
      <c r="EG17" s="371"/>
      <c r="EH17" s="371"/>
      <c r="EI17" s="377"/>
    </row>
    <row r="18" spans="1:139" ht="24.95" customHeight="1" x14ac:dyDescent="0.25">
      <c r="A18" s="383">
        <f ca="1">STUDENT!AC19</f>
        <v>0</v>
      </c>
      <c r="B18" s="383">
        <f ca="1">STUDENT!AD19</f>
        <v>0</v>
      </c>
      <c r="C18" s="383">
        <f ca="1">IFERROR(IF($Z18&gt;=1,INDEX(DALLY!$N$10:$KZ$54,40,MATCH($AA18,DALLY!$N$10:$KZ$10,0)+7),0),0)</f>
        <v>0</v>
      </c>
      <c r="D18" s="383">
        <f ca="1">IFERROR(IF($Z18&gt;=1,INDEX(DALLY!$N$10:$KZ$54,40,MATCH($AA18,DALLY!$N$10:$KZ$10,0)+8),0),0)</f>
        <v>0</v>
      </c>
      <c r="E18" s="383">
        <f ca="1">IFERROR(IF($Z18&gt;=1,INDEX(DALLY!$N$10:$KZ$54,39,MATCH($AA18,DALLY!$N$10:$KZ$10,0)+7),0),0)</f>
        <v>0</v>
      </c>
      <c r="F18" s="383">
        <f ca="1">IFERROR(IF($Z18&gt;=1,INDEX(DALLY!$N$10:$KZ$54,39,MATCH($AA18,DALLY!$N$10:$KZ$10,0)+8),0),0)</f>
        <v>0</v>
      </c>
      <c r="G18" s="383">
        <f ca="1">IFERROR(IF($Z18&gt;=1,INDEX(DALLY!$N$10:$KZ$54,G$4,MATCH($AA18,DALLY!$N$10:$KZ$10,0)+$G$5),0),0)</f>
        <v>0</v>
      </c>
      <c r="H18" s="383">
        <f ca="1">IFERROR(IF($Z18&gt;=1,INDEX(DALLY!$N$10:$KZ$54,H$4,MATCH($AA18,DALLY!$N$10:$KZ$10,0)+$H$5),0),0)</f>
        <v>0</v>
      </c>
      <c r="I18" s="383">
        <f ca="1">IFERROR(IF($Z18&gt;=1,INDEX(DALLY!$N$10:$KZ$54,I$4,MATCH($AA18,DALLY!$N$10:$KZ$10,0)+$G$5),0),0)</f>
        <v>0</v>
      </c>
      <c r="J18" s="383">
        <f ca="1">IFERROR(IF($Z18&gt;=1,INDEX(DALLY!$N$10:$KZ$54,J$4,MATCH($AA18,DALLY!$N$10:$KZ$10,0)+$H$5),0),0)</f>
        <v>0</v>
      </c>
      <c r="K18" s="383">
        <f ca="1">IFERROR(IF($Z18&gt;=1,INDEX(DALLY!$N$10:$KZ$54,K$4,MATCH($AA18,DALLY!$N$10:$KZ$10,0)+$G$5),0),0)</f>
        <v>0</v>
      </c>
      <c r="L18" s="383">
        <f ca="1">IFERROR(IF($Z18&gt;=1,INDEX(DALLY!$N$10:$KZ$54,L$4,MATCH($AA18,DALLY!$N$10:$KZ$10,0)+$H$5),0),0)</f>
        <v>0</v>
      </c>
      <c r="M18" s="383">
        <f ca="1">IFERROR(IF($Z18&gt;=1,INDEX(DALLY!$N$10:$KZ$54,M$4,MATCH($AA18,DALLY!$N$10:$KZ$10,0)+$G$5),0),0)</f>
        <v>0</v>
      </c>
      <c r="N18" s="383">
        <f ca="1">IFERROR(IF($Z18&gt;=1,INDEX(DALLY!$N$10:$KZ$54,N$4,MATCH($AA18,DALLY!$N$10:$KZ$10,0)+$H$5),0),0)</f>
        <v>0</v>
      </c>
      <c r="O18" s="383">
        <f ca="1">IFERROR(IF($Z18&gt;=1,INDEX(DALLY!$N$10:$KZ$54,O$4,MATCH($AA18,DALLY!$N$10:$KZ$10,0)+$G$5),0),0)</f>
        <v>0</v>
      </c>
      <c r="P18" s="383">
        <f ca="1">IFERROR(IF($Z18&gt;=1,INDEX(DALLY!$N$10:$KZ$54,P$4,MATCH($AA18,DALLY!$N$10:$KZ$10,0)+$H$5),0),0)</f>
        <v>0</v>
      </c>
      <c r="Q18" s="383">
        <f>HOME!L17-HOME!N17</f>
        <v>1.3100000000000005</v>
      </c>
      <c r="R18" s="383">
        <f>HOME!M17-HOME!O17</f>
        <v>1.9699999999999998</v>
      </c>
      <c r="S18" s="383">
        <f t="shared" ca="1" si="8"/>
        <v>0</v>
      </c>
      <c r="T18" s="394">
        <f t="shared" ca="1" si="9"/>
        <v>0</v>
      </c>
      <c r="U18" s="383">
        <f t="shared" ca="1" si="10"/>
        <v>0</v>
      </c>
      <c r="V18" s="383">
        <f ca="1">IFERROR(IF($Z18&gt;=1,INDEX(DALLY!$N$10:$KZ$54,38,MATCH($AA18,DALLY!$N$10:$KZ$10,0)+2),0),0)</f>
        <v>0</v>
      </c>
      <c r="W18" s="383">
        <f t="shared" ca="1" si="11"/>
        <v>0</v>
      </c>
      <c r="Z18" s="364">
        <f ca="1">PROFILE!G14</f>
        <v>0</v>
      </c>
      <c r="AA18" s="44" t="str">
        <f>PROFILE!H14</f>
        <v>मार्च 2020</v>
      </c>
      <c r="AB18" s="363">
        <f t="shared" ca="1" si="12"/>
        <v>0</v>
      </c>
      <c r="AC18" s="369">
        <f t="shared" ca="1" si="13"/>
        <v>0</v>
      </c>
      <c r="AD18" s="361">
        <f t="shared" ca="1" si="14"/>
        <v>0</v>
      </c>
      <c r="AE18" s="363">
        <f t="shared" ca="1" si="15"/>
        <v>0</v>
      </c>
      <c r="AF18" s="369">
        <f t="shared" ref="AF18" ca="1" si="123">IF(AE18&gt;0,ROUNDUP(AG18/AE18,0),0)</f>
        <v>0</v>
      </c>
      <c r="AG18" s="361">
        <f t="shared" ca="1" si="17"/>
        <v>0</v>
      </c>
      <c r="AH18" s="363">
        <f t="shared" ca="1" si="18"/>
        <v>0</v>
      </c>
      <c r="AI18" s="369">
        <f t="shared" ref="AI18" ca="1" si="124">IF(AH18&gt;0,ROUNDUP(AJ18/AH18,0),0)</f>
        <v>0</v>
      </c>
      <c r="AJ18" s="361">
        <f t="shared" ca="1" si="20"/>
        <v>0</v>
      </c>
      <c r="AK18" s="363">
        <f t="shared" ca="1" si="21"/>
        <v>0</v>
      </c>
      <c r="AL18" s="369">
        <f t="shared" ref="AL18" ca="1" si="125">IF(AK18&gt;0,ROUNDUP(AM18/AK18,0),0)</f>
        <v>0</v>
      </c>
      <c r="AM18" s="361">
        <f t="shared" ca="1" si="23"/>
        <v>0</v>
      </c>
      <c r="AN18" s="363">
        <f t="shared" ca="1" si="24"/>
        <v>0</v>
      </c>
      <c r="AO18" s="369">
        <f t="shared" ref="AO18" ca="1" si="126">IF(AN18&gt;0,ROUNDUP(AP18/AN18,0),0)</f>
        <v>0</v>
      </c>
      <c r="AP18" s="361">
        <f t="shared" ca="1" si="26"/>
        <v>0</v>
      </c>
      <c r="AQ18" s="369">
        <f t="shared" ca="1" si="27"/>
        <v>0</v>
      </c>
      <c r="AR18" s="361">
        <f t="shared" ca="1" si="28"/>
        <v>0</v>
      </c>
      <c r="AS18" s="369">
        <f t="shared" ca="1" si="29"/>
        <v>0</v>
      </c>
      <c r="AT18" s="363">
        <f t="shared" ca="1" si="30"/>
        <v>0</v>
      </c>
      <c r="AU18" s="369">
        <f t="shared" ca="1" si="31"/>
        <v>0</v>
      </c>
      <c r="AV18" s="361">
        <f t="shared" ca="1" si="32"/>
        <v>0</v>
      </c>
      <c r="AW18" s="363">
        <f t="shared" ca="1" si="33"/>
        <v>0</v>
      </c>
      <c r="AX18" s="369">
        <f t="shared" ca="1" si="34"/>
        <v>0</v>
      </c>
      <c r="AY18" s="361">
        <f t="shared" ca="1" si="35"/>
        <v>0</v>
      </c>
      <c r="AZ18" s="363">
        <f t="shared" ca="1" si="36"/>
        <v>0</v>
      </c>
      <c r="BA18" s="369">
        <f t="shared" ca="1" si="37"/>
        <v>0</v>
      </c>
      <c r="BB18" s="361">
        <f t="shared" ca="1" si="38"/>
        <v>0</v>
      </c>
      <c r="BC18" s="363">
        <f t="shared" ca="1" si="39"/>
        <v>0</v>
      </c>
      <c r="BD18" s="369">
        <f t="shared" ca="1" si="40"/>
        <v>0</v>
      </c>
      <c r="BE18" s="361">
        <f t="shared" ca="1" si="41"/>
        <v>0</v>
      </c>
      <c r="BF18" s="363">
        <f t="shared" ca="1" si="42"/>
        <v>0</v>
      </c>
      <c r="BG18" s="369">
        <f t="shared" ca="1" si="43"/>
        <v>0</v>
      </c>
      <c r="BH18" s="369">
        <f t="shared" ca="1" si="44"/>
        <v>0</v>
      </c>
      <c r="BI18" s="369">
        <f t="shared" ca="1" si="45"/>
        <v>0</v>
      </c>
      <c r="BJ18" s="369">
        <f t="shared" ca="1" si="46"/>
        <v>0</v>
      </c>
      <c r="BK18" s="369">
        <f t="shared" ca="1" si="47"/>
        <v>0</v>
      </c>
      <c r="BL18" s="361">
        <f t="shared" ca="1" si="48"/>
        <v>0</v>
      </c>
      <c r="BM18" s="369">
        <f t="shared" ca="1" si="49"/>
        <v>0</v>
      </c>
      <c r="BN18" s="369">
        <f t="shared" ca="1" si="50"/>
        <v>0</v>
      </c>
      <c r="BO18" s="363">
        <f ca="1">IF($Z18&gt;=1,ROUND(($C18*HOME!P17+$D18*HOME!T17)/1000,1),0)</f>
        <v>0</v>
      </c>
      <c r="BP18" s="369">
        <f t="shared" ca="1" si="51"/>
        <v>0</v>
      </c>
      <c r="BQ18" s="369">
        <f t="shared" ca="1" si="52"/>
        <v>0</v>
      </c>
      <c r="BR18" s="363">
        <f ca="1">IF($Z18&gt;=1,ROUND(($C18*HOME!Q17+$D18*HOME!U17)/1000,1),0)</f>
        <v>0</v>
      </c>
      <c r="BS18" s="369">
        <f t="shared" ca="1" si="53"/>
        <v>0</v>
      </c>
      <c r="BT18" s="369">
        <f t="shared" ca="1" si="54"/>
        <v>0</v>
      </c>
      <c r="BU18" s="363">
        <f ca="1">IF($Z18&gt;=1,ROUND(($C18*HOME!R17+$D18*HOME!V17)/1000,1),0)</f>
        <v>0</v>
      </c>
      <c r="BV18" s="369">
        <f t="shared" ca="1" si="55"/>
        <v>0</v>
      </c>
      <c r="BW18" s="369">
        <f t="shared" ca="1" si="56"/>
        <v>0</v>
      </c>
      <c r="BX18" s="363">
        <f t="shared" ca="1" si="57"/>
        <v>0</v>
      </c>
      <c r="BY18" s="369">
        <f t="shared" ca="1" si="58"/>
        <v>0</v>
      </c>
      <c r="BZ18" s="369">
        <f t="shared" ca="1" si="59"/>
        <v>0</v>
      </c>
      <c r="CA18" s="369">
        <f t="shared" ca="1" si="60"/>
        <v>0</v>
      </c>
      <c r="CB18" s="361">
        <f t="shared" ca="1" si="61"/>
        <v>0</v>
      </c>
      <c r="CC18" s="369">
        <f t="shared" ca="1" si="62"/>
        <v>0</v>
      </c>
      <c r="CD18" s="369">
        <f t="shared" ca="1" si="63"/>
        <v>0</v>
      </c>
      <c r="CE18" s="361">
        <f t="shared" ca="1" si="64"/>
        <v>0</v>
      </c>
      <c r="CF18" s="369">
        <f t="shared" ca="1" si="65"/>
        <v>0</v>
      </c>
      <c r="CG18" s="369">
        <f t="shared" ca="1" si="66"/>
        <v>0</v>
      </c>
      <c r="CH18" s="361">
        <f t="shared" ca="1" si="67"/>
        <v>0</v>
      </c>
      <c r="CI18" s="369">
        <f t="shared" ca="1" si="68"/>
        <v>0</v>
      </c>
      <c r="CJ18" s="369">
        <f t="shared" ca="1" si="69"/>
        <v>0</v>
      </c>
      <c r="CK18" s="361">
        <f t="shared" ca="1" si="70"/>
        <v>0</v>
      </c>
      <c r="CL18" s="369">
        <f t="shared" ca="1" si="71"/>
        <v>0</v>
      </c>
      <c r="CM18" s="369">
        <f t="shared" ca="1" si="72"/>
        <v>0</v>
      </c>
      <c r="CN18" s="361">
        <f t="shared" ca="1" si="73"/>
        <v>0</v>
      </c>
      <c r="CO18" s="369">
        <f t="shared" ca="1" si="74"/>
        <v>0</v>
      </c>
      <c r="CP18" s="369">
        <f t="shared" ca="1" si="75"/>
        <v>0</v>
      </c>
      <c r="CQ18" s="363">
        <f ca="1">DATA!AH18+DATA!AJ18</f>
        <v>0</v>
      </c>
      <c r="CR18" s="361">
        <v>2</v>
      </c>
      <c r="CS18" s="361">
        <f t="shared" ca="1" si="76"/>
        <v>0</v>
      </c>
      <c r="CT18" s="362">
        <f t="shared" ca="1" si="77"/>
        <v>0</v>
      </c>
      <c r="CU18" s="362">
        <f ca="1">PAYMENT!AP18</f>
        <v>0</v>
      </c>
      <c r="CV18" s="362">
        <f t="shared" ca="1" si="78"/>
        <v>0</v>
      </c>
      <c r="CY18" s="388">
        <f t="shared" si="93"/>
        <v>0</v>
      </c>
      <c r="CZ18" s="391"/>
      <c r="DA18" s="392">
        <f t="shared" si="83"/>
        <v>0</v>
      </c>
      <c r="DB18" s="390">
        <f t="shared" si="84"/>
        <v>0</v>
      </c>
      <c r="DC18" s="393">
        <f t="shared" si="85"/>
        <v>0</v>
      </c>
      <c r="DD18" s="370"/>
      <c r="DE18" s="388"/>
      <c r="DF18" s="391"/>
      <c r="DG18" s="392">
        <f t="shared" si="108"/>
        <v>0</v>
      </c>
      <c r="DH18" s="390">
        <f t="shared" si="109"/>
        <v>0</v>
      </c>
      <c r="DI18" s="393">
        <f t="shared" si="110"/>
        <v>0</v>
      </c>
      <c r="DJ18" s="370"/>
      <c r="DK18" s="370"/>
      <c r="DL18" s="388"/>
      <c r="DM18" s="391"/>
      <c r="DN18" s="392"/>
      <c r="DO18" s="390"/>
      <c r="DP18" s="393"/>
      <c r="DQ18" s="370"/>
      <c r="DR18" s="388"/>
      <c r="DS18" s="391"/>
      <c r="DT18" s="392"/>
      <c r="DU18" s="390"/>
      <c r="DV18" s="393"/>
      <c r="DW18" s="370"/>
      <c r="DX18" s="370"/>
      <c r="DY18" s="388"/>
      <c r="DZ18" s="391"/>
      <c r="EA18" s="392"/>
      <c r="EB18" s="390"/>
      <c r="EC18" s="393"/>
      <c r="ED18" s="370"/>
      <c r="EE18" s="376"/>
      <c r="EF18" s="371"/>
      <c r="EG18" s="371"/>
      <c r="EH18" s="371"/>
      <c r="EI18" s="377"/>
    </row>
    <row r="19" spans="1:139" ht="24.95" customHeight="1" thickBot="1" x14ac:dyDescent="0.3">
      <c r="A19" s="383">
        <f ca="1">STUDENT!AC20</f>
        <v>0</v>
      </c>
      <c r="B19" s="383">
        <f ca="1">STUDENT!AD20</f>
        <v>0</v>
      </c>
      <c r="C19" s="383">
        <f ca="1">IFERROR(IF($Z19&gt;=1,INDEX(DALLY!$N$10:$KZ$54,40,MATCH($AA19,DALLY!$N$10:$KZ$10,0)+7),0),0)</f>
        <v>0</v>
      </c>
      <c r="D19" s="383">
        <f ca="1">IFERROR(IF($Z19&gt;=1,INDEX(DALLY!$N$10:$KZ$54,40,MATCH($AA19,DALLY!$N$10:$KZ$10,0)+8),0),0)</f>
        <v>0</v>
      </c>
      <c r="E19" s="383">
        <f ca="1">IFERROR(IF($Z19&gt;=1,INDEX(DALLY!$N$10:$KZ$54,39,MATCH($AA19,DALLY!$N$10:$KZ$10,0)+7),0),0)</f>
        <v>0</v>
      </c>
      <c r="F19" s="383">
        <f ca="1">IFERROR(IF($Z19&gt;=1,INDEX(DALLY!$N$10:$KZ$54,39,MATCH($AA19,DALLY!$N$10:$KZ$10,0)+8),0),0)</f>
        <v>0</v>
      </c>
      <c r="G19" s="383">
        <f ca="1">IFERROR(IF($Z19&gt;=1,INDEX(DALLY!$N$10:$KZ$54,G$4,MATCH($AA19,DALLY!$N$10:$KZ$10,0)+$G$5),0),0)</f>
        <v>0</v>
      </c>
      <c r="H19" s="383">
        <f ca="1">IFERROR(IF($Z19&gt;=1,INDEX(DALLY!$N$10:$KZ$54,H$4,MATCH($AA19,DALLY!$N$10:$KZ$10,0)+$H$5),0),0)</f>
        <v>0</v>
      </c>
      <c r="I19" s="383">
        <f ca="1">IFERROR(IF($Z19&gt;=1,INDEX(DALLY!$N$10:$KZ$54,I$4,MATCH($AA19,DALLY!$N$10:$KZ$10,0)+$G$5),0),0)</f>
        <v>0</v>
      </c>
      <c r="J19" s="383">
        <f ca="1">IFERROR(IF($Z19&gt;=1,INDEX(DALLY!$N$10:$KZ$54,J$4,MATCH($AA19,DALLY!$N$10:$KZ$10,0)+$H$5),0),0)</f>
        <v>0</v>
      </c>
      <c r="K19" s="383">
        <f ca="1">IFERROR(IF($Z19&gt;=1,INDEX(DALLY!$N$10:$KZ$54,K$4,MATCH($AA19,DALLY!$N$10:$KZ$10,0)+$G$5),0),0)</f>
        <v>0</v>
      </c>
      <c r="L19" s="383">
        <f ca="1">IFERROR(IF($Z19&gt;=1,INDEX(DALLY!$N$10:$KZ$54,L$4,MATCH($AA19,DALLY!$N$10:$KZ$10,0)+$H$5),0),0)</f>
        <v>0</v>
      </c>
      <c r="M19" s="383">
        <f ca="1">IFERROR(IF($Z19&gt;=1,INDEX(DALLY!$N$10:$KZ$54,M$4,MATCH($AA19,DALLY!$N$10:$KZ$10,0)+$G$5),0),0)</f>
        <v>0</v>
      </c>
      <c r="N19" s="383">
        <f ca="1">IFERROR(IF($Z19&gt;=1,INDEX(DALLY!$N$10:$KZ$54,N$4,MATCH($AA19,DALLY!$N$10:$KZ$10,0)+$H$5),0),0)</f>
        <v>0</v>
      </c>
      <c r="O19" s="383">
        <f ca="1">IFERROR(IF($Z19&gt;=1,INDEX(DALLY!$N$10:$KZ$54,O$4,MATCH($AA19,DALLY!$N$10:$KZ$10,0)+$G$5),0),0)</f>
        <v>0</v>
      </c>
      <c r="P19" s="383">
        <f ca="1">IFERROR(IF($Z19&gt;=1,INDEX(DALLY!$N$10:$KZ$54,P$4,MATCH($AA19,DALLY!$N$10:$KZ$10,0)+$H$5),0),0)</f>
        <v>0</v>
      </c>
      <c r="Q19" s="383">
        <f>HOME!L18-HOME!N18</f>
        <v>1.3100000000000005</v>
      </c>
      <c r="R19" s="383">
        <f>HOME!M18-HOME!O18</f>
        <v>1.9699999999999998</v>
      </c>
      <c r="S19" s="383">
        <f t="shared" ca="1" si="8"/>
        <v>0</v>
      </c>
      <c r="T19" s="394">
        <f t="shared" ca="1" si="9"/>
        <v>0</v>
      </c>
      <c r="U19" s="383">
        <f t="shared" ca="1" si="10"/>
        <v>0</v>
      </c>
      <c r="V19" s="383">
        <f ca="1">IFERROR(IF($Z19&gt;=1,INDEX(DALLY!$N$10:$KZ$54,38,MATCH($AA19,DALLY!$N$10:$KZ$10,0)+2),0),0)</f>
        <v>0</v>
      </c>
      <c r="W19" s="383">
        <f t="shared" ca="1" si="11"/>
        <v>0</v>
      </c>
      <c r="Z19" s="364">
        <f ca="1">PROFILE!G15</f>
        <v>0</v>
      </c>
      <c r="AA19" s="44" t="str">
        <f>PROFILE!H15</f>
        <v>अप्रैल 2020</v>
      </c>
      <c r="AB19" s="363">
        <f t="shared" ca="1" si="12"/>
        <v>0</v>
      </c>
      <c r="AC19" s="369">
        <f t="shared" ca="1" si="13"/>
        <v>0</v>
      </c>
      <c r="AD19" s="361">
        <f t="shared" ca="1" si="14"/>
        <v>0</v>
      </c>
      <c r="AE19" s="363">
        <f t="shared" ca="1" si="15"/>
        <v>0</v>
      </c>
      <c r="AF19" s="369">
        <f t="shared" ref="AF19" ca="1" si="127">IF(AE19&gt;0,ROUNDUP(AG19/AE19,0),0)</f>
        <v>0</v>
      </c>
      <c r="AG19" s="361">
        <f t="shared" ca="1" si="17"/>
        <v>0</v>
      </c>
      <c r="AH19" s="363">
        <f t="shared" ca="1" si="18"/>
        <v>0</v>
      </c>
      <c r="AI19" s="369">
        <f t="shared" ref="AI19" ca="1" si="128">IF(AH19&gt;0,ROUNDUP(AJ19/AH19,0),0)</f>
        <v>0</v>
      </c>
      <c r="AJ19" s="361">
        <f t="shared" ca="1" si="20"/>
        <v>0</v>
      </c>
      <c r="AK19" s="363">
        <f t="shared" ca="1" si="21"/>
        <v>0</v>
      </c>
      <c r="AL19" s="369">
        <f t="shared" ref="AL19" ca="1" si="129">IF(AK19&gt;0,ROUNDUP(AM19/AK19,0),0)</f>
        <v>0</v>
      </c>
      <c r="AM19" s="361">
        <f t="shared" ca="1" si="23"/>
        <v>0</v>
      </c>
      <c r="AN19" s="363">
        <f t="shared" ca="1" si="24"/>
        <v>0</v>
      </c>
      <c r="AO19" s="369">
        <f t="shared" ref="AO19" ca="1" si="130">IF(AN19&gt;0,ROUNDUP(AP19/AN19,0),0)</f>
        <v>0</v>
      </c>
      <c r="AP19" s="361">
        <f t="shared" ca="1" si="26"/>
        <v>0</v>
      </c>
      <c r="AQ19" s="369">
        <f t="shared" ca="1" si="27"/>
        <v>0</v>
      </c>
      <c r="AR19" s="361">
        <f t="shared" ca="1" si="28"/>
        <v>0</v>
      </c>
      <c r="AS19" s="369">
        <f t="shared" ca="1" si="29"/>
        <v>0</v>
      </c>
      <c r="AT19" s="363">
        <f t="shared" ca="1" si="30"/>
        <v>0</v>
      </c>
      <c r="AU19" s="369">
        <f t="shared" ca="1" si="31"/>
        <v>0</v>
      </c>
      <c r="AV19" s="361">
        <f t="shared" ca="1" si="32"/>
        <v>0</v>
      </c>
      <c r="AW19" s="363">
        <f t="shared" ca="1" si="33"/>
        <v>0</v>
      </c>
      <c r="AX19" s="369">
        <f t="shared" ca="1" si="34"/>
        <v>0</v>
      </c>
      <c r="AY19" s="361">
        <f t="shared" ca="1" si="35"/>
        <v>0</v>
      </c>
      <c r="AZ19" s="363">
        <f t="shared" ca="1" si="36"/>
        <v>0</v>
      </c>
      <c r="BA19" s="369">
        <f t="shared" ca="1" si="37"/>
        <v>0</v>
      </c>
      <c r="BB19" s="361">
        <f t="shared" ca="1" si="38"/>
        <v>0</v>
      </c>
      <c r="BC19" s="363">
        <f t="shared" ca="1" si="39"/>
        <v>0</v>
      </c>
      <c r="BD19" s="369">
        <f t="shared" ca="1" si="40"/>
        <v>0</v>
      </c>
      <c r="BE19" s="361">
        <f t="shared" ca="1" si="41"/>
        <v>0</v>
      </c>
      <c r="BF19" s="363">
        <f t="shared" ca="1" si="42"/>
        <v>0</v>
      </c>
      <c r="BG19" s="369">
        <f t="shared" ca="1" si="43"/>
        <v>0</v>
      </c>
      <c r="BH19" s="369">
        <f t="shared" ca="1" si="44"/>
        <v>0</v>
      </c>
      <c r="BI19" s="369">
        <f t="shared" ca="1" si="45"/>
        <v>0</v>
      </c>
      <c r="BJ19" s="369">
        <f t="shared" ca="1" si="46"/>
        <v>0</v>
      </c>
      <c r="BK19" s="369">
        <f t="shared" ca="1" si="47"/>
        <v>0</v>
      </c>
      <c r="BL19" s="361">
        <f t="shared" ca="1" si="48"/>
        <v>0</v>
      </c>
      <c r="BM19" s="369">
        <f t="shared" ca="1" si="49"/>
        <v>0</v>
      </c>
      <c r="BN19" s="369">
        <f t="shared" ca="1" si="50"/>
        <v>0</v>
      </c>
      <c r="BO19" s="363">
        <f ca="1">IF($Z19&gt;=1,ROUND(($C19*HOME!P18+$D19*HOME!T18)/1000,1),0)</f>
        <v>0</v>
      </c>
      <c r="BP19" s="369">
        <f t="shared" ca="1" si="51"/>
        <v>0</v>
      </c>
      <c r="BQ19" s="369">
        <f t="shared" ca="1" si="52"/>
        <v>0</v>
      </c>
      <c r="BR19" s="363">
        <f ca="1">IF($Z19&gt;=1,ROUND(($C19*HOME!Q18+$D19*HOME!U18)/1000,1),0)</f>
        <v>0</v>
      </c>
      <c r="BS19" s="369">
        <f t="shared" ca="1" si="53"/>
        <v>0</v>
      </c>
      <c r="BT19" s="369">
        <f t="shared" ca="1" si="54"/>
        <v>0</v>
      </c>
      <c r="BU19" s="363">
        <f ca="1">IF($Z19&gt;=1,ROUND(($C19*HOME!R18+$D19*HOME!V18)/1000,1),0)</f>
        <v>0</v>
      </c>
      <c r="BV19" s="369">
        <f t="shared" ca="1" si="55"/>
        <v>0</v>
      </c>
      <c r="BW19" s="369">
        <f t="shared" ca="1" si="56"/>
        <v>0</v>
      </c>
      <c r="BX19" s="363">
        <f t="shared" ca="1" si="57"/>
        <v>0</v>
      </c>
      <c r="BY19" s="369">
        <f t="shared" ca="1" si="58"/>
        <v>0</v>
      </c>
      <c r="BZ19" s="369">
        <f t="shared" ca="1" si="59"/>
        <v>0</v>
      </c>
      <c r="CA19" s="369">
        <f t="shared" ca="1" si="60"/>
        <v>0</v>
      </c>
      <c r="CB19" s="361">
        <f t="shared" ca="1" si="61"/>
        <v>0</v>
      </c>
      <c r="CC19" s="369">
        <f t="shared" ca="1" si="62"/>
        <v>0</v>
      </c>
      <c r="CD19" s="369">
        <f t="shared" ca="1" si="63"/>
        <v>0</v>
      </c>
      <c r="CE19" s="361">
        <f t="shared" ca="1" si="64"/>
        <v>0</v>
      </c>
      <c r="CF19" s="369">
        <f t="shared" ca="1" si="65"/>
        <v>0</v>
      </c>
      <c r="CG19" s="369">
        <f t="shared" ca="1" si="66"/>
        <v>0</v>
      </c>
      <c r="CH19" s="361">
        <f t="shared" ca="1" si="67"/>
        <v>0</v>
      </c>
      <c r="CI19" s="369">
        <f t="shared" ca="1" si="68"/>
        <v>0</v>
      </c>
      <c r="CJ19" s="369">
        <f t="shared" ca="1" si="69"/>
        <v>0</v>
      </c>
      <c r="CK19" s="361">
        <f t="shared" ca="1" si="70"/>
        <v>0</v>
      </c>
      <c r="CL19" s="369">
        <f t="shared" ca="1" si="71"/>
        <v>0</v>
      </c>
      <c r="CM19" s="369">
        <f t="shared" ca="1" si="72"/>
        <v>0</v>
      </c>
      <c r="CN19" s="361">
        <f t="shared" ca="1" si="73"/>
        <v>0</v>
      </c>
      <c r="CO19" s="369">
        <f t="shared" ca="1" si="74"/>
        <v>0</v>
      </c>
      <c r="CP19" s="369">
        <f t="shared" ca="1" si="75"/>
        <v>0</v>
      </c>
      <c r="CQ19" s="363">
        <f ca="1">DATA!AH19+DATA!AJ19</f>
        <v>0</v>
      </c>
      <c r="CR19" s="361">
        <v>2</v>
      </c>
      <c r="CS19" s="361">
        <f t="shared" ca="1" si="76"/>
        <v>0</v>
      </c>
      <c r="CT19" s="362">
        <f t="shared" ca="1" si="77"/>
        <v>0</v>
      </c>
      <c r="CU19" s="362">
        <f ca="1">PAYMENT!AP19</f>
        <v>0</v>
      </c>
      <c r="CV19" s="362">
        <f t="shared" ca="1" si="78"/>
        <v>0</v>
      </c>
      <c r="CY19" s="1220" t="s">
        <v>313</v>
      </c>
      <c r="CZ19" s="1221"/>
      <c r="DA19" s="1221"/>
      <c r="DB19" s="1222"/>
      <c r="DC19" s="389">
        <f>SUM(DC9:DC18)</f>
        <v>0</v>
      </c>
      <c r="DD19" s="370"/>
      <c r="DE19" s="1220" t="s">
        <v>313</v>
      </c>
      <c r="DF19" s="1221"/>
      <c r="DG19" s="1221"/>
      <c r="DH19" s="1222"/>
      <c r="DI19" s="389">
        <f>SUM(DI9:DI18)</f>
        <v>0</v>
      </c>
      <c r="DJ19" s="370"/>
      <c r="DK19" s="370"/>
      <c r="DL19" s="1220" t="s">
        <v>313</v>
      </c>
      <c r="DM19" s="1221"/>
      <c r="DN19" s="1221"/>
      <c r="DO19" s="1222"/>
      <c r="DP19" s="389">
        <f>SUM(DP9:DP18)</f>
        <v>0</v>
      </c>
      <c r="DQ19" s="370"/>
      <c r="DR19" s="1220" t="s">
        <v>313</v>
      </c>
      <c r="DS19" s="1221"/>
      <c r="DT19" s="1221"/>
      <c r="DU19" s="1222"/>
      <c r="DV19" s="389">
        <f>SUM(DV9:DV18)</f>
        <v>0</v>
      </c>
      <c r="DW19" s="370"/>
      <c r="DX19" s="370"/>
      <c r="DY19" s="1220" t="s">
        <v>313</v>
      </c>
      <c r="DZ19" s="1221"/>
      <c r="EA19" s="1221"/>
      <c r="EB19" s="1222"/>
      <c r="EC19" s="389">
        <f>SUM(EC9:EC18)</f>
        <v>0</v>
      </c>
      <c r="ED19" s="370"/>
      <c r="EE19" s="1223" t="s">
        <v>313</v>
      </c>
      <c r="EF19" s="1224"/>
      <c r="EG19" s="398">
        <f>SUM(EG9:EG10)</f>
        <v>0</v>
      </c>
      <c r="EH19" s="397" t="s">
        <v>313</v>
      </c>
      <c r="EI19" s="389">
        <f>ROUND(SUM(EI9:EI18),0)</f>
        <v>0</v>
      </c>
    </row>
    <row r="20" spans="1:139" ht="24.95" customHeight="1" x14ac:dyDescent="0.25">
      <c r="CY20" s="370"/>
      <c r="CZ20" s="370"/>
      <c r="DA20" s="370"/>
      <c r="DB20" s="370"/>
      <c r="DC20" s="370"/>
      <c r="DD20" s="370"/>
      <c r="DE20" s="370"/>
      <c r="DF20" s="370"/>
      <c r="DG20" s="370"/>
      <c r="DH20" s="370"/>
      <c r="DI20" s="370"/>
      <c r="DJ20" s="370"/>
      <c r="DK20" s="370"/>
      <c r="DL20" s="370"/>
      <c r="DM20" s="370"/>
      <c r="DN20" s="370"/>
      <c r="DO20" s="370"/>
      <c r="DP20" s="370"/>
      <c r="DQ20" s="370"/>
      <c r="DR20" s="370"/>
      <c r="DS20" s="370"/>
      <c r="DT20" s="370"/>
      <c r="DU20" s="370"/>
      <c r="DV20" s="370"/>
      <c r="DW20" s="370"/>
      <c r="DX20" s="370"/>
      <c r="DY20" s="370"/>
      <c r="DZ20" s="370"/>
      <c r="EA20" s="370"/>
      <c r="EB20" s="370"/>
      <c r="EC20" s="370"/>
      <c r="ED20" s="370"/>
      <c r="EE20" s="370"/>
      <c r="EF20" s="370"/>
      <c r="EG20" s="370"/>
      <c r="EH20" s="370"/>
      <c r="EI20" s="370"/>
    </row>
    <row r="21" spans="1:139" ht="24.95" customHeight="1" x14ac:dyDescent="0.25">
      <c r="CY21" s="370"/>
      <c r="CZ21" s="370"/>
      <c r="DA21" s="1241" t="s">
        <v>335</v>
      </c>
      <c r="DB21" s="1241"/>
      <c r="DC21" s="1241"/>
      <c r="DD21" s="370"/>
      <c r="DE21" s="370"/>
      <c r="DF21" s="370"/>
      <c r="DG21" s="1241" t="s">
        <v>335</v>
      </c>
      <c r="DH21" s="1241"/>
      <c r="DI21" s="1241"/>
      <c r="DJ21" s="370"/>
      <c r="DK21" s="370"/>
      <c r="DL21" s="370"/>
      <c r="DM21" s="370"/>
      <c r="DN21" s="1241" t="s">
        <v>335</v>
      </c>
      <c r="DO21" s="1241"/>
      <c r="DP21" s="1241"/>
      <c r="DQ21" s="370"/>
      <c r="DR21" s="370"/>
      <c r="DS21" s="370"/>
      <c r="DT21" s="1241" t="s">
        <v>335</v>
      </c>
      <c r="DU21" s="1241"/>
      <c r="DV21" s="1241"/>
      <c r="DW21" s="370"/>
      <c r="DX21" s="370"/>
      <c r="DY21" s="370"/>
      <c r="DZ21" s="370"/>
      <c r="EA21" s="1241" t="s">
        <v>335</v>
      </c>
      <c r="EB21" s="1241"/>
      <c r="EC21" s="1241"/>
      <c r="ED21" s="370"/>
      <c r="EE21" s="370"/>
      <c r="EF21" s="370"/>
      <c r="EG21" s="1241" t="s">
        <v>335</v>
      </c>
      <c r="EH21" s="1241"/>
      <c r="EI21" s="1241"/>
    </row>
    <row r="22" spans="1:139" ht="18" customHeight="1" x14ac:dyDescent="0.25">
      <c r="CY22" s="1242" t="str">
        <f>IF(DC19&gt;=1,$CY$3,"")</f>
        <v/>
      </c>
      <c r="CZ22" s="1242"/>
      <c r="DA22" s="1242"/>
      <c r="DB22" s="1242"/>
      <c r="DC22" s="1242"/>
      <c r="DD22" s="370"/>
      <c r="DE22" s="1242" t="str">
        <f>IF(DI19&gt;=1,$CY$3,"")</f>
        <v/>
      </c>
      <c r="DF22" s="1242"/>
      <c r="DG22" s="1242"/>
      <c r="DH22" s="1242"/>
      <c r="DI22" s="1242"/>
      <c r="DJ22" s="370"/>
      <c r="DK22" s="370"/>
      <c r="DL22" s="1242" t="str">
        <f>IF(DP19&gt;=1,$CY$3,"")</f>
        <v/>
      </c>
      <c r="DM22" s="1242"/>
      <c r="DN22" s="1242"/>
      <c r="DO22" s="1242"/>
      <c r="DP22" s="1242"/>
      <c r="DQ22" s="370"/>
      <c r="DR22" s="1242" t="str">
        <f>IF(DV19&gt;=1,$CY$3,"")</f>
        <v/>
      </c>
      <c r="DS22" s="1242"/>
      <c r="DT22" s="1242"/>
      <c r="DU22" s="1242"/>
      <c r="DV22" s="1242"/>
      <c r="DW22" s="370"/>
      <c r="DX22" s="370"/>
      <c r="DY22" s="1242" t="str">
        <f>IF(EC19&gt;=1,$CY$3,"")</f>
        <v/>
      </c>
      <c r="DZ22" s="1242"/>
      <c r="EA22" s="1242"/>
      <c r="EB22" s="1242"/>
      <c r="EC22" s="1242"/>
      <c r="ED22" s="370"/>
      <c r="EE22" s="1242" t="str">
        <f>IF(EI19&gt;=1,$CY$3,"")</f>
        <v/>
      </c>
      <c r="EF22" s="1242"/>
      <c r="EG22" s="1242"/>
      <c r="EH22" s="1242"/>
      <c r="EI22" s="1242"/>
    </row>
    <row r="23" spans="1:139" ht="50.25" customHeight="1" x14ac:dyDescent="0.25">
      <c r="CY23" s="1243" t="str">
        <f>IF(DC19&gt;=1,$DA$3,"")</f>
        <v/>
      </c>
      <c r="CZ23" s="1243"/>
      <c r="DA23" s="1243"/>
      <c r="DB23" s="1243"/>
      <c r="DC23" s="1243"/>
      <c r="DD23" s="370"/>
      <c r="DE23" s="1243" t="str">
        <f>IF(DI19&gt;=1,$DA$3,"")</f>
        <v/>
      </c>
      <c r="DF23" s="1243"/>
      <c r="DG23" s="1243"/>
      <c r="DH23" s="1243"/>
      <c r="DI23" s="1243"/>
      <c r="DJ23" s="370"/>
      <c r="DK23" s="370"/>
      <c r="DL23" s="1243" t="str">
        <f>IF(DP19&gt;=1,$DA$3,"")</f>
        <v/>
      </c>
      <c r="DM23" s="1243"/>
      <c r="DN23" s="1243"/>
      <c r="DO23" s="1243"/>
      <c r="DP23" s="1243"/>
      <c r="DQ23" s="370"/>
      <c r="DR23" s="1243" t="str">
        <f>IF(DV19&gt;=1,$DA$3,"")</f>
        <v/>
      </c>
      <c r="DS23" s="1243"/>
      <c r="DT23" s="1243"/>
      <c r="DU23" s="1243"/>
      <c r="DV23" s="1243"/>
      <c r="DW23" s="370"/>
      <c r="DX23" s="370"/>
      <c r="DY23" s="1243" t="str">
        <f>IF(EC19&gt;=1,$DA$3,"")</f>
        <v/>
      </c>
      <c r="DZ23" s="1243"/>
      <c r="EA23" s="1243"/>
      <c r="EB23" s="1243"/>
      <c r="EC23" s="1243"/>
      <c r="ED23" s="370"/>
      <c r="EE23" s="1243" t="str">
        <f>IF(EI19&gt;=1,$DA$3,"")</f>
        <v/>
      </c>
      <c r="EF23" s="1243"/>
      <c r="EG23" s="1243"/>
      <c r="EH23" s="1243"/>
      <c r="EI23" s="1243"/>
    </row>
    <row r="24" spans="1:139" ht="24.95" customHeight="1" x14ac:dyDescent="0.25">
      <c r="CY24" s="370"/>
      <c r="CZ24" s="370"/>
      <c r="DA24" s="370"/>
      <c r="DB24" s="370"/>
      <c r="DC24" s="370"/>
      <c r="DD24" s="370"/>
      <c r="DE24" s="370"/>
      <c r="DF24" s="370"/>
      <c r="DG24" s="370"/>
      <c r="DH24" s="370"/>
      <c r="DI24" s="370"/>
      <c r="DJ24" s="370"/>
      <c r="DK24" s="370"/>
      <c r="DL24" s="370"/>
      <c r="DM24" s="370"/>
      <c r="DN24" s="370"/>
      <c r="DO24" s="370"/>
      <c r="DP24" s="370"/>
      <c r="DQ24" s="370"/>
      <c r="DR24" s="370"/>
      <c r="DS24" s="370"/>
      <c r="DT24" s="370"/>
      <c r="DU24" s="370"/>
      <c r="DV24" s="370"/>
      <c r="DW24" s="370"/>
      <c r="DX24" s="370"/>
      <c r="DY24" s="370"/>
      <c r="DZ24" s="370"/>
      <c r="EA24" s="370"/>
      <c r="EB24" s="370"/>
      <c r="EC24" s="370"/>
      <c r="ED24" s="370"/>
      <c r="EE24" s="370"/>
      <c r="EF24" s="370"/>
      <c r="EG24" s="370"/>
      <c r="EH24" s="370"/>
      <c r="EI24" s="370"/>
    </row>
    <row r="25" spans="1:139" x14ac:dyDescent="0.25">
      <c r="DA25" s="1241" t="s">
        <v>336</v>
      </c>
      <c r="DB25" s="1241"/>
      <c r="DC25" s="1241"/>
      <c r="DG25" s="1241" t="s">
        <v>336</v>
      </c>
      <c r="DH25" s="1241"/>
      <c r="DI25" s="1241"/>
      <c r="DN25" s="1241" t="s">
        <v>336</v>
      </c>
      <c r="DO25" s="1241"/>
      <c r="DP25" s="1241"/>
      <c r="DT25" s="1241" t="s">
        <v>336</v>
      </c>
      <c r="DU25" s="1241"/>
      <c r="DV25" s="1241"/>
      <c r="EA25" s="1241" t="s">
        <v>336</v>
      </c>
      <c r="EB25" s="1241"/>
      <c r="EC25" s="1241"/>
      <c r="EG25" s="1241" t="s">
        <v>336</v>
      </c>
      <c r="EH25" s="1241"/>
      <c r="EI25" s="1241"/>
    </row>
  </sheetData>
  <sheetProtection password="C94F" sheet="1" objects="1" scenarios="1"/>
  <mergeCells count="84">
    <mergeCell ref="EA21:EC21"/>
    <mergeCell ref="DY22:EC22"/>
    <mergeCell ref="DY23:EC23"/>
    <mergeCell ref="EA25:EC25"/>
    <mergeCell ref="EG21:EI21"/>
    <mergeCell ref="EE22:EI22"/>
    <mergeCell ref="EE23:EI23"/>
    <mergeCell ref="EG25:EI25"/>
    <mergeCell ref="DN21:DP21"/>
    <mergeCell ref="DL22:DP22"/>
    <mergeCell ref="DL23:DP23"/>
    <mergeCell ref="DN25:DP25"/>
    <mergeCell ref="DT21:DV21"/>
    <mergeCell ref="DR22:DV22"/>
    <mergeCell ref="DR23:DV23"/>
    <mergeCell ref="DT25:DV25"/>
    <mergeCell ref="DA21:DC21"/>
    <mergeCell ref="CY22:DC22"/>
    <mergeCell ref="CY23:DC23"/>
    <mergeCell ref="DA25:DC25"/>
    <mergeCell ref="DG21:DI21"/>
    <mergeCell ref="DE22:DI22"/>
    <mergeCell ref="DE23:DI23"/>
    <mergeCell ref="DG25:DI25"/>
    <mergeCell ref="Z5:Z7"/>
    <mergeCell ref="AB5:CT5"/>
    <mergeCell ref="AQ6:AS6"/>
    <mergeCell ref="AA5:AA7"/>
    <mergeCell ref="CB6:CD6"/>
    <mergeCell ref="AB6:AD6"/>
    <mergeCell ref="BL6:BN6"/>
    <mergeCell ref="BO6:BQ6"/>
    <mergeCell ref="BR6:BT6"/>
    <mergeCell ref="BU6:BW6"/>
    <mergeCell ref="CE6:CG6"/>
    <mergeCell ref="CH6:CJ6"/>
    <mergeCell ref="CK6:CM6"/>
    <mergeCell ref="CQ6:CS6"/>
    <mergeCell ref="CN6:CP6"/>
    <mergeCell ref="CU5:CW6"/>
    <mergeCell ref="AE6:AG6"/>
    <mergeCell ref="AH6:AJ6"/>
    <mergeCell ref="AK6:AM6"/>
    <mergeCell ref="AN6:AP6"/>
    <mergeCell ref="CT6:CT7"/>
    <mergeCell ref="BX6:CA6"/>
    <mergeCell ref="AT6:AV6"/>
    <mergeCell ref="AW6:AY6"/>
    <mergeCell ref="AZ6:BB6"/>
    <mergeCell ref="BC6:BE6"/>
    <mergeCell ref="BF6:BH6"/>
    <mergeCell ref="BI6:BK6"/>
    <mergeCell ref="K6:L6"/>
    <mergeCell ref="M6:N6"/>
    <mergeCell ref="O6:P6"/>
    <mergeCell ref="C6:D6"/>
    <mergeCell ref="A6:B6"/>
    <mergeCell ref="E6:F6"/>
    <mergeCell ref="G6:H6"/>
    <mergeCell ref="I6:J6"/>
    <mergeCell ref="EE4:EI4"/>
    <mergeCell ref="DR5:DV5"/>
    <mergeCell ref="DY5:EC5"/>
    <mergeCell ref="EE5:EI5"/>
    <mergeCell ref="CY4:DC4"/>
    <mergeCell ref="DE4:DI4"/>
    <mergeCell ref="DL4:DP4"/>
    <mergeCell ref="DR4:DV4"/>
    <mergeCell ref="DY4:EC4"/>
    <mergeCell ref="CY5:DC5"/>
    <mergeCell ref="DE5:DI5"/>
    <mergeCell ref="DL5:DP5"/>
    <mergeCell ref="EE7:EI7"/>
    <mergeCell ref="CY19:DB19"/>
    <mergeCell ref="DE19:DH19"/>
    <mergeCell ref="DL19:DO19"/>
    <mergeCell ref="DR19:DU19"/>
    <mergeCell ref="CY7:DC7"/>
    <mergeCell ref="DE7:DI7"/>
    <mergeCell ref="DL7:DP7"/>
    <mergeCell ref="DR7:DV7"/>
    <mergeCell ref="DY7:EC7"/>
    <mergeCell ref="DY19:EB19"/>
    <mergeCell ref="EE19:EF19"/>
  </mergeCells>
  <conditionalFormatting sqref="CY9:DC18">
    <cfRule type="cellIs" dxfId="23" priority="26" operator="equal">
      <formula>0</formula>
    </cfRule>
  </conditionalFormatting>
  <conditionalFormatting sqref="DE9:DI18">
    <cfRule type="cellIs" dxfId="22" priority="25" operator="equal">
      <formula>0</formula>
    </cfRule>
  </conditionalFormatting>
  <conditionalFormatting sqref="DM9:DP18">
    <cfRule type="cellIs" dxfId="21" priority="24" operator="equal">
      <formula>0</formula>
    </cfRule>
  </conditionalFormatting>
  <conditionalFormatting sqref="DS9:DV18">
    <cfRule type="cellIs" dxfId="20" priority="23" operator="equal">
      <formula>0</formula>
    </cfRule>
  </conditionalFormatting>
  <conditionalFormatting sqref="DZ9:EC18">
    <cfRule type="cellIs" dxfId="19" priority="22" operator="equal">
      <formula>0</formula>
    </cfRule>
  </conditionalFormatting>
  <conditionalFormatting sqref="DL9:DL18">
    <cfRule type="cellIs" dxfId="18" priority="21" operator="equal">
      <formula>0</formula>
    </cfRule>
  </conditionalFormatting>
  <conditionalFormatting sqref="DR9:DR18">
    <cfRule type="cellIs" dxfId="17" priority="20" operator="equal">
      <formula>0</formula>
    </cfRule>
  </conditionalFormatting>
  <conditionalFormatting sqref="DY9:DY18">
    <cfRule type="cellIs" dxfId="16" priority="19" operator="equal">
      <formula>0</formula>
    </cfRule>
  </conditionalFormatting>
  <conditionalFormatting sqref="DC19">
    <cfRule type="cellIs" dxfId="15" priority="18" operator="equal">
      <formula>0</formula>
    </cfRule>
  </conditionalFormatting>
  <conditionalFormatting sqref="DI19">
    <cfRule type="cellIs" dxfId="14" priority="13" operator="equal">
      <formula>0</formula>
    </cfRule>
  </conditionalFormatting>
  <conditionalFormatting sqref="DP19">
    <cfRule type="cellIs" dxfId="13" priority="12" operator="equal">
      <formula>0</formula>
    </cfRule>
  </conditionalFormatting>
  <conditionalFormatting sqref="DV19">
    <cfRule type="cellIs" dxfId="12" priority="11" operator="equal">
      <formula>0</formula>
    </cfRule>
  </conditionalFormatting>
  <conditionalFormatting sqref="EC19">
    <cfRule type="cellIs" dxfId="11" priority="10" operator="equal">
      <formula>0</formula>
    </cfRule>
  </conditionalFormatting>
  <conditionalFormatting sqref="EI19">
    <cfRule type="cellIs" dxfId="10" priority="9" operator="equal">
      <formula>0</formula>
    </cfRule>
  </conditionalFormatting>
  <conditionalFormatting sqref="EF9">
    <cfRule type="cellIs" dxfId="9" priority="8" operator="equal">
      <formula>0</formula>
    </cfRule>
  </conditionalFormatting>
  <conditionalFormatting sqref="EE9">
    <cfRule type="cellIs" dxfId="8" priority="7" operator="equal">
      <formula>0</formula>
    </cfRule>
  </conditionalFormatting>
  <conditionalFormatting sqref="EF10">
    <cfRule type="cellIs" dxfId="7" priority="6" operator="equal">
      <formula>0</formula>
    </cfRule>
  </conditionalFormatting>
  <conditionalFormatting sqref="EE10">
    <cfRule type="cellIs" dxfId="6" priority="5" operator="equal">
      <formula>0</formula>
    </cfRule>
  </conditionalFormatting>
  <conditionalFormatting sqref="EG9:EG10">
    <cfRule type="cellIs" dxfId="5" priority="4" operator="equal">
      <formula>0</formula>
    </cfRule>
  </conditionalFormatting>
  <conditionalFormatting sqref="EI9">
    <cfRule type="cellIs" dxfId="4" priority="3" operator="equal">
      <formula>0</formula>
    </cfRule>
  </conditionalFormatting>
  <conditionalFormatting sqref="EI10">
    <cfRule type="cellIs" dxfId="3" priority="2" operator="equal">
      <formula>0</formula>
    </cfRule>
  </conditionalFormatting>
  <conditionalFormatting sqref="CY4:EI25">
    <cfRule type="cellIs" dxfId="2" priority="1" operator="equal">
      <formula>0</formula>
    </cfRule>
  </conditionalFormatting>
  <pageMargins left="0" right="0" top="0" bottom="0" header="0" footer="0"/>
  <pageSetup paperSize="9"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0.499984740745262"/>
  </sheetPr>
  <dimension ref="A1:AQ19"/>
  <sheetViews>
    <sheetView view="pageBreakPreview" topLeftCell="G3" zoomScaleNormal="100" zoomScaleSheetLayoutView="100" workbookViewId="0">
      <pane xSplit="1" ySplit="6" topLeftCell="H9" activePane="bottomRight" state="frozen"/>
      <selection activeCell="G3" sqref="G3"/>
      <selection pane="topRight" activeCell="H3" sqref="H3"/>
      <selection pane="bottomLeft" activeCell="G9" sqref="G9"/>
      <selection pane="bottomRight" activeCell="M9" sqref="M9"/>
    </sheetView>
  </sheetViews>
  <sheetFormatPr defaultRowHeight="15" x14ac:dyDescent="0.25"/>
  <cols>
    <col min="1" max="6" width="9.140625" style="3" hidden="1" customWidth="1"/>
    <col min="7" max="7" width="4" style="3" customWidth="1"/>
    <col min="8" max="8" width="11.7109375" style="3" customWidth="1"/>
    <col min="9" max="9" width="7.140625" style="3" customWidth="1"/>
    <col min="10" max="10" width="11.140625" style="3" customWidth="1"/>
    <col min="11" max="11" width="10.140625" style="3" customWidth="1"/>
    <col min="12" max="12" width="7.5703125" style="3" customWidth="1"/>
    <col min="13" max="13" width="16.85546875" style="3" customWidth="1"/>
    <col min="14" max="14" width="13.7109375" style="3" customWidth="1"/>
    <col min="15" max="15" width="17" style="3" customWidth="1"/>
    <col min="16" max="37" width="0" style="3" hidden="1" customWidth="1"/>
    <col min="38" max="16384" width="9.140625" style="3"/>
  </cols>
  <sheetData>
    <row r="1" spans="1:43" hidden="1" x14ac:dyDescent="0.25">
      <c r="A1" s="3" t="s">
        <v>340</v>
      </c>
      <c r="B1" s="3">
        <v>1</v>
      </c>
      <c r="P1" s="3">
        <f>IF(LEN(G4)&gt;=10,(IF(LEN(G3)&gt;=10,(IF(LEN(G5)&gt;=5,VLOOKUP(G4,A1:B3,2,0),0)),0)),0)</f>
        <v>0</v>
      </c>
      <c r="Q1" s="3">
        <f>IF(P1&gt;=1,VLOOKUP(G5,STUDENT!T9:AO20,18,0),0)</f>
        <v>0</v>
      </c>
    </row>
    <row r="2" spans="1:43" hidden="1" x14ac:dyDescent="0.25">
      <c r="A2" s="3" t="s">
        <v>338</v>
      </c>
      <c r="B2" s="3">
        <v>2</v>
      </c>
    </row>
    <row r="3" spans="1:43" ht="24.95" customHeight="1" x14ac:dyDescent="0.25">
      <c r="A3" s="3" t="s">
        <v>339</v>
      </c>
      <c r="B3" s="3">
        <v>3</v>
      </c>
      <c r="G3" s="1256">
        <f>PROFILE!G1</f>
        <v>0</v>
      </c>
      <c r="H3" s="1256"/>
      <c r="I3" s="1256"/>
      <c r="J3" s="1256"/>
      <c r="K3" s="1256"/>
      <c r="L3" s="1256"/>
      <c r="M3" s="1256"/>
      <c r="N3" s="1256"/>
      <c r="O3" s="1256"/>
      <c r="Q3" s="431" t="s">
        <v>354</v>
      </c>
      <c r="AA3" s="3">
        <f>IF(Q1&gt;=3,AA5,IF(Q1&gt;=2,AH5,IF(Q1&gt;=1,U5,0)))</f>
        <v>0</v>
      </c>
    </row>
    <row r="4" spans="1:43" ht="24.95" customHeight="1" x14ac:dyDescent="0.25">
      <c r="G4" s="1251" t="s">
        <v>340</v>
      </c>
      <c r="H4" s="1251"/>
      <c r="I4" s="1251"/>
      <c r="J4" s="1251"/>
      <c r="K4" s="1251"/>
      <c r="L4" s="1251"/>
      <c r="M4" s="1251"/>
      <c r="N4" s="1251"/>
      <c r="O4" s="1251"/>
      <c r="P4" s="473" t="s">
        <v>349</v>
      </c>
      <c r="AL4" s="1244" t="s">
        <v>418</v>
      </c>
      <c r="AM4" s="1244"/>
      <c r="AN4" s="1244"/>
      <c r="AO4" s="1244"/>
      <c r="AP4" s="1244"/>
      <c r="AQ4" s="1244"/>
    </row>
    <row r="5" spans="1:43" ht="24.95" customHeight="1" thickBot="1" x14ac:dyDescent="0.3">
      <c r="G5" s="1250">
        <f>MONTHLY!U3</f>
        <v>0</v>
      </c>
      <c r="H5" s="1251"/>
      <c r="I5" s="1251"/>
      <c r="J5" s="1251"/>
      <c r="K5" s="1251"/>
      <c r="L5" s="1251"/>
      <c r="M5" s="1251"/>
      <c r="N5" s="1251"/>
      <c r="O5" s="1251"/>
      <c r="P5" s="473"/>
      <c r="U5" s="3">
        <f>COUNTIF(U7:U11,"&gt;=1")</f>
        <v>0</v>
      </c>
      <c r="AA5" s="3">
        <f>COUNTIF(AA7:AA11,"&gt;=1")</f>
        <v>0</v>
      </c>
      <c r="AD5" s="3" t="s">
        <v>377</v>
      </c>
      <c r="AH5" s="3">
        <f>COUNTIF(AH7:AH11,"&gt;=1")</f>
        <v>0</v>
      </c>
      <c r="AL5" s="1245" t="s">
        <v>419</v>
      </c>
      <c r="AM5" s="1245"/>
      <c r="AN5" s="1245"/>
      <c r="AO5" s="1245"/>
      <c r="AP5" s="1245"/>
      <c r="AQ5" s="1245"/>
    </row>
    <row r="6" spans="1:43" ht="22.5" customHeight="1" thickBot="1" x14ac:dyDescent="0.3">
      <c r="G6" s="1257" t="s">
        <v>342</v>
      </c>
      <c r="H6" s="1258"/>
      <c r="I6" s="474"/>
      <c r="J6" s="475"/>
      <c r="K6" s="338"/>
      <c r="L6" s="338"/>
      <c r="M6" s="16"/>
      <c r="N6" s="476" t="s">
        <v>348</v>
      </c>
      <c r="O6" s="477"/>
      <c r="P6" s="473" t="s">
        <v>350</v>
      </c>
      <c r="U6" s="3">
        <f>COUNTIF(U7:U11,"0")</f>
        <v>5</v>
      </c>
      <c r="AA6" s="3">
        <f>COUNTIF(AA7:AA11,"0")</f>
        <v>1</v>
      </c>
      <c r="AH6" s="3">
        <f>COUNTIF(AH7:AH11,"0")</f>
        <v>4</v>
      </c>
      <c r="AL6" s="1245"/>
      <c r="AM6" s="1245"/>
      <c r="AN6" s="1245"/>
      <c r="AO6" s="1245"/>
      <c r="AP6" s="1245"/>
      <c r="AQ6" s="1245"/>
    </row>
    <row r="7" spans="1:43" ht="39.75" customHeight="1" x14ac:dyDescent="0.25">
      <c r="G7" s="1259" t="s">
        <v>40</v>
      </c>
      <c r="H7" s="1173" t="s">
        <v>346</v>
      </c>
      <c r="I7" s="1173"/>
      <c r="J7" s="1173"/>
      <c r="K7" s="1173" t="s">
        <v>343</v>
      </c>
      <c r="L7" s="1173"/>
      <c r="M7" s="1173"/>
      <c r="N7" s="1173"/>
      <c r="O7" s="1261" t="s">
        <v>347</v>
      </c>
      <c r="P7" s="3">
        <v>1</v>
      </c>
      <c r="Q7" s="3" t="str">
        <f>BILL!CY4</f>
        <v/>
      </c>
      <c r="R7" s="3" t="str">
        <f>BILL!CY5</f>
        <v/>
      </c>
      <c r="S7" s="478">
        <f>BILL!DC19</f>
        <v>0</v>
      </c>
      <c r="T7" s="3" t="s">
        <v>355</v>
      </c>
      <c r="U7" s="3">
        <f>IF(LEN(Q7)&gt;=5,(IF(S7&gt;=1,P7,0)),0)</f>
        <v>0</v>
      </c>
      <c r="V7" s="3">
        <v>1</v>
      </c>
      <c r="W7" s="3" t="str">
        <f>BILL!EE4</f>
        <v/>
      </c>
      <c r="X7" s="3" t="str">
        <f>BILL!EE5</f>
        <v/>
      </c>
      <c r="Y7" s="478">
        <f>BILL!EI19</f>
        <v>0</v>
      </c>
      <c r="Z7" s="3" t="s">
        <v>182</v>
      </c>
      <c r="AA7" s="3">
        <f>IF(LEN(W7)&gt;=5,(IF(Y7&gt;=1,V7,0)),0)</f>
        <v>0</v>
      </c>
      <c r="AC7" s="3">
        <v>1</v>
      </c>
      <c r="AD7" s="3" t="str">
        <f>IF($Q$1&gt;=AC7,VLOOKUP($G$5,STUDENT!$T$9:$AB$20,6,0),"")</f>
        <v/>
      </c>
      <c r="AE7" s="3" t="str">
        <f>IF($Q$1&gt;=AC7,VLOOKUP(AD7,STATUS!$F$16:$R$24,4,0),"")</f>
        <v/>
      </c>
      <c r="AF7" s="3" t="str">
        <f>IF($Q$1&gt;=AC7,VLOOKUP(AD7,STATUS!$F$16:$R$24,9,0),"")</f>
        <v/>
      </c>
      <c r="AH7" s="3">
        <f>IF(LEN(AD7)&gt;=5,(IF(LEN(AE7)&gt;=3,(IF(LEN(AF7)&gt;=3,AC7,0)),0)),0)</f>
        <v>0</v>
      </c>
      <c r="AI7" s="3" t="str">
        <f>IF($Q$1&gt;=AC7,CONCATENATE(AD7,$AD$5,AE7),"")</f>
        <v/>
      </c>
      <c r="AJ7" s="3">
        <f>IF($Q$1&gt;=AC7,VLOOKUP($G$5,HOME!$D$7:$AA$18,24,0),0)</f>
        <v>0</v>
      </c>
      <c r="AK7" s="3" t="s">
        <v>378</v>
      </c>
    </row>
    <row r="8" spans="1:43" ht="34.5" customHeight="1" thickBot="1" x14ac:dyDescent="0.3">
      <c r="G8" s="1260"/>
      <c r="H8" s="1263" t="s">
        <v>345</v>
      </c>
      <c r="I8" s="1263"/>
      <c r="J8" s="479" t="s">
        <v>341</v>
      </c>
      <c r="K8" s="479" t="s">
        <v>344</v>
      </c>
      <c r="L8" s="479" t="s">
        <v>351</v>
      </c>
      <c r="M8" s="479" t="s">
        <v>352</v>
      </c>
      <c r="N8" s="479" t="s">
        <v>279</v>
      </c>
      <c r="O8" s="1262"/>
      <c r="P8" s="3">
        <v>2</v>
      </c>
      <c r="Q8" s="3" t="str">
        <f>BILL!DE4</f>
        <v/>
      </c>
      <c r="R8" s="3" t="str">
        <f>BILL!DE5</f>
        <v/>
      </c>
      <c r="S8" s="478">
        <f>BILL!DI19</f>
        <v>0</v>
      </c>
      <c r="T8" s="3" t="s">
        <v>277</v>
      </c>
      <c r="U8" s="3">
        <f t="shared" ref="U8:U11" si="0">IF(LEN(Q8)&gt;=5,(IF(S8&gt;=1,P8,0)),0)</f>
        <v>0</v>
      </c>
      <c r="AC8" s="3">
        <v>2</v>
      </c>
      <c r="AD8" s="3" t="str">
        <f>IF($Q$1&gt;=AC8,VLOOKUP($G$5,STUDENT!$T$9:$AB$20,6,0),"")</f>
        <v/>
      </c>
      <c r="AE8" s="3" t="str">
        <f>IF($Q$1&gt;=AC8,VLOOKUP(AD8,STATUS!$F$16:$R$24,4,0),"")</f>
        <v/>
      </c>
      <c r="AF8" s="3" t="str">
        <f>IF($Q$1&gt;=AC8,VLOOKUP(AD8,STATUS!$F$16:$R$24,9,0),"")</f>
        <v/>
      </c>
      <c r="AH8" s="3">
        <f t="shared" ref="AH8:AH10" si="1">IF(LEN(AD8)&gt;=5,(IF(LEN(AE8)&gt;=3,(IF(LEN(AF8)&gt;=3,AC8,0)),0)),0)</f>
        <v>0</v>
      </c>
      <c r="AI8" s="3" t="str">
        <f t="shared" ref="AI8:AI10" si="2">IF($Q$1&gt;=AC8,CONCATENATE(AD8,$AD$5,AE8),"")</f>
        <v/>
      </c>
      <c r="AJ8" s="3">
        <f>IF($Q$1&gt;=AC8,VLOOKUP($G$5,HOME!$D$7:$AA$18,24,0),0)</f>
        <v>0</v>
      </c>
    </row>
    <row r="9" spans="1:43" ht="80.099999999999994" customHeight="1" thickBot="1" x14ac:dyDescent="0.3">
      <c r="F9" s="3">
        <v>1</v>
      </c>
      <c r="G9" s="480">
        <f>IF($AA$3&gt;=$F9,F9,0)</f>
        <v>0</v>
      </c>
      <c r="H9" s="1248" t="str">
        <f>IF($G9&gt;=$F9,(IF($P$1&gt;=3,W7,IF($P$1&gt;=2,AI7,IF($P$1&gt;=1,Q7,"")))),"")</f>
        <v/>
      </c>
      <c r="I9" s="1249"/>
      <c r="J9" s="481" t="str">
        <f>IF($G9&gt;=$F9,(IF($P$1&gt;=3,X7,IF($P$1&gt;=2,AF7,IF($P$1&gt;=1,R7,"")))),"")</f>
        <v/>
      </c>
      <c r="K9" s="482" t="str">
        <f>IF($G9&gt;=$F9,(IF($P$1&gt;=3,$Z$7,IF($P$1&gt;=2,$AK$7,IF($P$1&gt;=1,T7,"")))),"")</f>
        <v/>
      </c>
      <c r="L9" s="488"/>
      <c r="M9" s="489"/>
      <c r="N9" s="483">
        <f>IF($G9&gt;=$F9,(IF($P$1&gt;=3,Y7,IF($P$1&gt;=2,AJ7,IF($P$1&gt;=1,S7,0)))),0)</f>
        <v>0</v>
      </c>
      <c r="O9" s="484"/>
      <c r="P9" s="3">
        <v>3</v>
      </c>
      <c r="Q9" s="3" t="str">
        <f>BILL!DL4</f>
        <v/>
      </c>
      <c r="R9" s="3" t="str">
        <f>BILL!DL5</f>
        <v/>
      </c>
      <c r="S9" s="478">
        <f>BILL!DP19</f>
        <v>0</v>
      </c>
      <c r="T9" s="3" t="s">
        <v>301</v>
      </c>
      <c r="U9" s="3">
        <f t="shared" si="0"/>
        <v>0</v>
      </c>
      <c r="AC9" s="3">
        <v>3</v>
      </c>
      <c r="AD9" s="3" t="str">
        <f>IF($Q$1&gt;=AC9,VLOOKUP($G$5,STUDENT!$T$9:$AB$20,6,0),"")</f>
        <v/>
      </c>
      <c r="AE9" s="3" t="str">
        <f>IF($Q$1&gt;=AC9,VLOOKUP(AD9,STATUS!$F$16:$R$24,4,0),"")</f>
        <v/>
      </c>
      <c r="AF9" s="3" t="str">
        <f>IF($Q$1&gt;=AC9,VLOOKUP(AD9,STATUS!$F$16:$R$24,9,0),"")</f>
        <v/>
      </c>
      <c r="AH9" s="3">
        <f t="shared" si="1"/>
        <v>0</v>
      </c>
      <c r="AI9" s="3" t="str">
        <f t="shared" si="2"/>
        <v/>
      </c>
      <c r="AJ9" s="3">
        <f>IF($Q$1&gt;=AC9,VLOOKUP($G$5,HOME!$D$7:$AA$18,24,0),0)</f>
        <v>0</v>
      </c>
    </row>
    <row r="10" spans="1:43" ht="80.099999999999994" customHeight="1" thickBot="1" x14ac:dyDescent="0.3">
      <c r="F10" s="3">
        <v>2</v>
      </c>
      <c r="G10" s="480">
        <f t="shared" ref="G10:G15" si="3">IF($AA$3&gt;=$F10,F10,0)</f>
        <v>0</v>
      </c>
      <c r="H10" s="1248" t="str">
        <f t="shared" ref="H10:H15" si="4">IF($G10&gt;=$F10,(IF($P$1&gt;=3,W8,IF($P$1&gt;=2,AI8,IF($P$1&gt;=1,Q8,"")))),"")</f>
        <v/>
      </c>
      <c r="I10" s="1249"/>
      <c r="J10" s="481" t="str">
        <f t="shared" ref="J10:J15" si="5">IF($G10&gt;=$F10,(IF($P$1&gt;=3,X8,IF($P$1&gt;=2,AF8,IF($P$1&gt;=1,R8,"")))),"")</f>
        <v/>
      </c>
      <c r="K10" s="482" t="str">
        <f t="shared" ref="K10:K15" si="6">IF($G10&gt;=$F10,(IF($P$1&gt;=3,$Z$7,IF($P$1&gt;=2,$AK$7,IF($P$1&gt;=1,T8,"")))),"")</f>
        <v/>
      </c>
      <c r="L10" s="490"/>
      <c r="M10" s="491"/>
      <c r="N10" s="483">
        <f t="shared" ref="N10:N15" si="7">IF($G10&gt;=$F10,(IF($P$1&gt;=3,Y8,IF($P$1&gt;=2,AJ8,IF($P$1&gt;=1,S8,0)))),0)</f>
        <v>0</v>
      </c>
      <c r="O10" s="485"/>
      <c r="P10" s="3">
        <v>4</v>
      </c>
      <c r="Q10" s="3" t="str">
        <f>BILL!DR4</f>
        <v/>
      </c>
      <c r="R10" s="3" t="str">
        <f>BILL!DR5</f>
        <v/>
      </c>
      <c r="S10" s="478">
        <f>BILL!DV19</f>
        <v>0</v>
      </c>
      <c r="T10" s="3" t="s">
        <v>288</v>
      </c>
      <c r="U10" s="3">
        <f t="shared" si="0"/>
        <v>0</v>
      </c>
      <c r="AC10" s="3">
        <v>4</v>
      </c>
      <c r="AD10" s="3" t="str">
        <f>IF($Q$1&gt;=AC10,VLOOKUP($G$5,STUDENT!$T$9:$AB$20,6,0),"")</f>
        <v/>
      </c>
      <c r="AE10" s="3" t="str">
        <f>IF($Q$1&gt;=AC10,VLOOKUP(AD10,STATUS!$F$16:$R$24,4,0),"")</f>
        <v/>
      </c>
      <c r="AF10" s="3" t="str">
        <f>IF($Q$1&gt;=AC10,VLOOKUP(AD10,STATUS!$F$16:$R$24,9,0),"")</f>
        <v/>
      </c>
      <c r="AH10" s="3">
        <f t="shared" si="1"/>
        <v>0</v>
      </c>
      <c r="AI10" s="3" t="str">
        <f t="shared" si="2"/>
        <v/>
      </c>
      <c r="AJ10" s="3">
        <f>IF($Q$1&gt;=AC10,VLOOKUP($G$5,HOME!$D$7:$AA$18,24,0),0)</f>
        <v>0</v>
      </c>
    </row>
    <row r="11" spans="1:43" ht="80.099999999999994" customHeight="1" thickBot="1" x14ac:dyDescent="0.3">
      <c r="F11" s="3">
        <v>3</v>
      </c>
      <c r="G11" s="480">
        <f t="shared" si="3"/>
        <v>0</v>
      </c>
      <c r="H11" s="1248" t="str">
        <f t="shared" si="4"/>
        <v/>
      </c>
      <c r="I11" s="1249"/>
      <c r="J11" s="481" t="str">
        <f t="shared" si="5"/>
        <v/>
      </c>
      <c r="K11" s="482" t="str">
        <f t="shared" si="6"/>
        <v/>
      </c>
      <c r="L11" s="490"/>
      <c r="M11" s="491"/>
      <c r="N11" s="483">
        <f t="shared" si="7"/>
        <v>0</v>
      </c>
      <c r="O11" s="485"/>
      <c r="P11" s="3">
        <v>5</v>
      </c>
      <c r="Q11" s="3" t="str">
        <f>BILL!DY4</f>
        <v/>
      </c>
      <c r="R11" s="3" t="str">
        <f>BILL!DY5</f>
        <v/>
      </c>
      <c r="S11" s="478">
        <f>BILL!EC19</f>
        <v>0</v>
      </c>
      <c r="T11" s="3" t="s">
        <v>356</v>
      </c>
      <c r="U11" s="3">
        <f t="shared" si="0"/>
        <v>0</v>
      </c>
    </row>
    <row r="12" spans="1:43" ht="80.099999999999994" customHeight="1" thickBot="1" x14ac:dyDescent="0.3">
      <c r="F12" s="3">
        <v>4</v>
      </c>
      <c r="G12" s="480">
        <f t="shared" si="3"/>
        <v>0</v>
      </c>
      <c r="H12" s="1248" t="str">
        <f t="shared" si="4"/>
        <v/>
      </c>
      <c r="I12" s="1249"/>
      <c r="J12" s="481" t="str">
        <f t="shared" si="5"/>
        <v/>
      </c>
      <c r="K12" s="482" t="str">
        <f t="shared" si="6"/>
        <v/>
      </c>
      <c r="L12" s="490"/>
      <c r="M12" s="491"/>
      <c r="N12" s="483">
        <f t="shared" si="7"/>
        <v>0</v>
      </c>
      <c r="O12" s="485"/>
    </row>
    <row r="13" spans="1:43" ht="80.099999999999994" customHeight="1" thickBot="1" x14ac:dyDescent="0.3">
      <c r="F13" s="3">
        <v>5</v>
      </c>
      <c r="G13" s="480">
        <f t="shared" si="3"/>
        <v>0</v>
      </c>
      <c r="H13" s="1248" t="str">
        <f t="shared" si="4"/>
        <v/>
      </c>
      <c r="I13" s="1249"/>
      <c r="J13" s="481" t="str">
        <f t="shared" si="5"/>
        <v/>
      </c>
      <c r="K13" s="482" t="str">
        <f t="shared" si="6"/>
        <v/>
      </c>
      <c r="L13" s="490"/>
      <c r="M13" s="491"/>
      <c r="N13" s="483">
        <f t="shared" si="7"/>
        <v>0</v>
      </c>
      <c r="O13" s="485"/>
    </row>
    <row r="14" spans="1:43" ht="80.099999999999994" customHeight="1" thickBot="1" x14ac:dyDescent="0.3">
      <c r="F14" s="3">
        <v>6</v>
      </c>
      <c r="G14" s="480">
        <f t="shared" si="3"/>
        <v>0</v>
      </c>
      <c r="H14" s="1248" t="str">
        <f t="shared" si="4"/>
        <v/>
      </c>
      <c r="I14" s="1249"/>
      <c r="J14" s="481" t="str">
        <f t="shared" si="5"/>
        <v/>
      </c>
      <c r="K14" s="486" t="str">
        <f t="shared" si="6"/>
        <v/>
      </c>
      <c r="L14" s="490"/>
      <c r="M14" s="491"/>
      <c r="N14" s="483">
        <f t="shared" si="7"/>
        <v>0</v>
      </c>
      <c r="O14" s="485"/>
    </row>
    <row r="15" spans="1:43" ht="80.099999999999994" customHeight="1" thickBot="1" x14ac:dyDescent="0.3">
      <c r="F15" s="3">
        <v>7</v>
      </c>
      <c r="G15" s="480">
        <f t="shared" si="3"/>
        <v>0</v>
      </c>
      <c r="H15" s="1248" t="str">
        <f t="shared" si="4"/>
        <v/>
      </c>
      <c r="I15" s="1249"/>
      <c r="J15" s="481" t="str">
        <f t="shared" si="5"/>
        <v/>
      </c>
      <c r="K15" s="486" t="str">
        <f t="shared" si="6"/>
        <v/>
      </c>
      <c r="L15" s="492"/>
      <c r="M15" s="493"/>
      <c r="N15" s="483">
        <f t="shared" si="7"/>
        <v>0</v>
      </c>
      <c r="O15" s="487"/>
    </row>
    <row r="16" spans="1:43" ht="24" thickBot="1" x14ac:dyDescent="0.4">
      <c r="G16" s="1252" t="s">
        <v>353</v>
      </c>
      <c r="H16" s="1253"/>
      <c r="I16" s="1253"/>
      <c r="J16" s="1253"/>
      <c r="K16" s="1253"/>
      <c r="L16" s="1253"/>
      <c r="M16" s="1253"/>
      <c r="N16" s="1254">
        <f>SUM(N9:N15)</f>
        <v>0</v>
      </c>
      <c r="O16" s="1255"/>
    </row>
    <row r="17" spans="7:15" ht="45" customHeight="1" x14ac:dyDescent="0.25">
      <c r="G17" s="1246" t="str">
        <f>IF(N16&gt;=1,Q3,"")</f>
        <v/>
      </c>
      <c r="H17" s="1246"/>
      <c r="I17" s="1246"/>
      <c r="J17" s="1246"/>
      <c r="K17" s="1246"/>
      <c r="L17" s="1246"/>
      <c r="M17" s="1246"/>
      <c r="N17" s="1246"/>
      <c r="O17" s="1246"/>
    </row>
    <row r="18" spans="7:15" x14ac:dyDescent="0.25">
      <c r="G18" s="16"/>
      <c r="H18" s="16"/>
      <c r="I18" s="16"/>
      <c r="J18" s="16"/>
      <c r="K18" s="16"/>
      <c r="L18" s="16"/>
      <c r="M18" s="16"/>
      <c r="N18" s="16"/>
      <c r="O18" s="16"/>
    </row>
    <row r="19" spans="7:15" x14ac:dyDescent="0.25">
      <c r="G19" s="16"/>
      <c r="H19" s="16"/>
      <c r="I19" s="16"/>
      <c r="J19" s="16"/>
      <c r="K19" s="16"/>
      <c r="L19" s="16"/>
      <c r="M19" s="1247" t="s">
        <v>336</v>
      </c>
      <c r="N19" s="1247"/>
      <c r="O19" s="1247"/>
    </row>
  </sheetData>
  <sheetProtection password="F4F0" sheet="1" objects="1" scenarios="1"/>
  <mergeCells count="22">
    <mergeCell ref="G3:O3"/>
    <mergeCell ref="G6:H6"/>
    <mergeCell ref="G7:G8"/>
    <mergeCell ref="H9:I9"/>
    <mergeCell ref="H7:J7"/>
    <mergeCell ref="K7:N7"/>
    <mergeCell ref="O7:O8"/>
    <mergeCell ref="H8:I8"/>
    <mergeCell ref="AL4:AQ4"/>
    <mergeCell ref="AL5:AQ6"/>
    <mergeCell ref="G17:O17"/>
    <mergeCell ref="M19:O19"/>
    <mergeCell ref="H14:I14"/>
    <mergeCell ref="H15:I15"/>
    <mergeCell ref="G5:O5"/>
    <mergeCell ref="G16:M16"/>
    <mergeCell ref="N16:O16"/>
    <mergeCell ref="H10:I10"/>
    <mergeCell ref="H11:I11"/>
    <mergeCell ref="H12:I12"/>
    <mergeCell ref="H13:I13"/>
    <mergeCell ref="G4:O4"/>
  </mergeCells>
  <conditionalFormatting sqref="G9:O15">
    <cfRule type="cellIs" dxfId="1" priority="2" operator="equal">
      <formula>0</formula>
    </cfRule>
  </conditionalFormatting>
  <conditionalFormatting sqref="G3:O19">
    <cfRule type="cellIs" dxfId="0" priority="1" operator="equal">
      <formula>0</formula>
    </cfRule>
  </conditionalFormatting>
  <dataValidations count="2">
    <dataValidation type="list" allowBlank="1" showInputMessage="1" showErrorMessage="1" sqref="L9:L15" xr:uid="{00000000-0002-0000-0E00-000000000000}">
      <formula1>$P$4:$P$6</formula1>
    </dataValidation>
    <dataValidation type="list" allowBlank="1" showInputMessage="1" showErrorMessage="1" sqref="G4:O4" xr:uid="{00000000-0002-0000-0E00-000001000000}">
      <formula1>$A$1:$A$3</formula1>
    </dataValidation>
  </dataValidations>
  <pageMargins left="0" right="0" top="0" bottom="0" header="0" footer="0"/>
  <pageSetup paperSize="9" scale="95"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00CC"/>
  </sheetPr>
  <dimension ref="A1:AA19"/>
  <sheetViews>
    <sheetView view="pageBreakPreview" topLeftCell="G1" zoomScaleNormal="100" zoomScaleSheetLayoutView="100" workbookViewId="0">
      <pane xSplit="3" ySplit="6" topLeftCell="J7" activePane="bottomRight" state="frozen"/>
      <selection activeCell="G1" sqref="G1"/>
      <selection pane="topRight" activeCell="J1" sqref="J1"/>
      <selection pane="bottomLeft" activeCell="G7" sqref="G7"/>
      <selection pane="bottomRight" activeCell="Q9" sqref="Q9"/>
    </sheetView>
  </sheetViews>
  <sheetFormatPr defaultRowHeight="15" x14ac:dyDescent="0.25"/>
  <cols>
    <col min="1" max="3" width="9.140625" style="3" hidden="1" customWidth="1"/>
    <col min="4" max="5" width="12.42578125" style="3" hidden="1" customWidth="1"/>
    <col min="6" max="6" width="12.140625" style="3" hidden="1" customWidth="1"/>
    <col min="7" max="7" width="6.140625" style="3" customWidth="1"/>
    <col min="8" max="8" width="9.140625" style="3"/>
    <col min="9" max="9" width="6.42578125" style="3" customWidth="1"/>
    <col min="10" max="27" width="7.7109375" style="3" customWidth="1"/>
    <col min="28" max="16384" width="9.140625" style="3"/>
  </cols>
  <sheetData>
    <row r="1" spans="1:27" ht="24.95" customHeight="1" x14ac:dyDescent="0.3">
      <c r="A1" s="3" t="s">
        <v>138</v>
      </c>
      <c r="B1" s="3">
        <v>1</v>
      </c>
      <c r="C1" s="3">
        <v>2018</v>
      </c>
      <c r="D1" s="52">
        <f ca="1">PROFILE!D1</f>
        <v>43856</v>
      </c>
      <c r="E1" s="52"/>
      <c r="G1" s="16"/>
      <c r="H1" s="16"/>
      <c r="I1" s="16"/>
      <c r="J1" s="337" t="s">
        <v>142</v>
      </c>
      <c r="K1" s="595" t="s">
        <v>144</v>
      </c>
      <c r="L1" s="595"/>
      <c r="M1" s="596" t="s">
        <v>145</v>
      </c>
      <c r="N1" s="596"/>
      <c r="O1" s="596"/>
      <c r="P1" s="596"/>
      <c r="Q1" s="597" t="s">
        <v>146</v>
      </c>
      <c r="R1" s="597"/>
      <c r="S1" s="598" t="s">
        <v>147</v>
      </c>
      <c r="T1" s="598"/>
      <c r="U1" s="599" t="s">
        <v>148</v>
      </c>
      <c r="V1" s="599"/>
      <c r="W1" s="588" t="s">
        <v>149</v>
      </c>
      <c r="X1" s="589"/>
      <c r="Y1" s="338"/>
      <c r="Z1" s="16"/>
      <c r="AA1" s="16"/>
    </row>
    <row r="2" spans="1:27" ht="42.75" customHeight="1" x14ac:dyDescent="0.25">
      <c r="A2" s="3" t="s">
        <v>139</v>
      </c>
      <c r="B2" s="3">
        <v>2</v>
      </c>
      <c r="C2" s="3">
        <v>2019</v>
      </c>
      <c r="G2" s="16"/>
      <c r="H2" s="16"/>
      <c r="I2" s="16"/>
      <c r="J2" s="423" t="s">
        <v>143</v>
      </c>
      <c r="K2" s="600" t="s">
        <v>152</v>
      </c>
      <c r="L2" s="600"/>
      <c r="M2" s="601" t="s">
        <v>150</v>
      </c>
      <c r="N2" s="601"/>
      <c r="O2" s="601"/>
      <c r="P2" s="601"/>
      <c r="Q2" s="604" t="s">
        <v>151</v>
      </c>
      <c r="R2" s="604"/>
      <c r="S2" s="605" t="s">
        <v>153</v>
      </c>
      <c r="T2" s="605"/>
      <c r="U2" s="606" t="s">
        <v>151</v>
      </c>
      <c r="V2" s="606"/>
      <c r="W2" s="607" t="s">
        <v>152</v>
      </c>
      <c r="X2" s="608"/>
      <c r="Y2" s="338"/>
      <c r="Z2" s="16"/>
      <c r="AA2" s="16"/>
    </row>
    <row r="3" spans="1:27" ht="24.95" customHeight="1" x14ac:dyDescent="0.25">
      <c r="A3" s="3" t="s">
        <v>140</v>
      </c>
      <c r="B3" s="3">
        <v>3</v>
      </c>
      <c r="C3" s="3">
        <v>2020</v>
      </c>
      <c r="G3" s="16"/>
      <c r="H3" s="16"/>
      <c r="I3" s="16"/>
      <c r="J3" s="602" t="s">
        <v>292</v>
      </c>
      <c r="K3" s="603"/>
      <c r="L3" s="603"/>
      <c r="M3" s="603"/>
      <c r="N3" s="603"/>
      <c r="O3" s="603"/>
      <c r="P3" s="603"/>
      <c r="Q3" s="603"/>
      <c r="R3" s="603"/>
      <c r="S3" s="603"/>
      <c r="T3" s="420" t="s">
        <v>183</v>
      </c>
      <c r="U3" s="421"/>
      <c r="V3" s="421"/>
      <c r="W3" s="421"/>
      <c r="X3" s="422"/>
      <c r="Y3" s="16"/>
      <c r="Z3" s="16"/>
      <c r="AA3" s="16"/>
    </row>
    <row r="4" spans="1:27" ht="20.100000000000001" customHeight="1" x14ac:dyDescent="0.25">
      <c r="A4" s="3" t="s">
        <v>141</v>
      </c>
      <c r="B4" s="3">
        <v>4</v>
      </c>
      <c r="C4" s="3">
        <v>2021</v>
      </c>
      <c r="G4" s="587" t="s">
        <v>40</v>
      </c>
      <c r="H4" s="587" t="s">
        <v>122</v>
      </c>
      <c r="I4" s="587" t="s">
        <v>128</v>
      </c>
      <c r="J4" s="593" t="s">
        <v>417</v>
      </c>
      <c r="K4" s="593"/>
      <c r="L4" s="586" t="s">
        <v>126</v>
      </c>
      <c r="M4" s="586"/>
      <c r="N4" s="586"/>
      <c r="O4" s="586"/>
      <c r="P4" s="591" t="s">
        <v>154</v>
      </c>
      <c r="Q4" s="591"/>
      <c r="R4" s="591"/>
      <c r="S4" s="591"/>
      <c r="T4" s="591"/>
      <c r="U4" s="591"/>
      <c r="V4" s="591"/>
      <c r="W4" s="591"/>
      <c r="X4" s="594" t="s">
        <v>129</v>
      </c>
      <c r="Y4" s="594"/>
      <c r="Z4" s="609" t="s">
        <v>125</v>
      </c>
      <c r="AA4" s="590" t="s">
        <v>127</v>
      </c>
    </row>
    <row r="5" spans="1:27" ht="20.100000000000001" customHeight="1" x14ac:dyDescent="0.25">
      <c r="A5" s="3" t="s">
        <v>130</v>
      </c>
      <c r="B5" s="3">
        <v>5</v>
      </c>
      <c r="C5" s="3">
        <v>2022</v>
      </c>
      <c r="G5" s="587"/>
      <c r="H5" s="587"/>
      <c r="I5" s="587"/>
      <c r="J5" s="593"/>
      <c r="K5" s="593"/>
      <c r="L5" s="586" t="s">
        <v>251</v>
      </c>
      <c r="M5" s="586"/>
      <c r="N5" s="586" t="s">
        <v>252</v>
      </c>
      <c r="O5" s="586"/>
      <c r="P5" s="592" t="s">
        <v>123</v>
      </c>
      <c r="Q5" s="592"/>
      <c r="R5" s="592"/>
      <c r="S5" s="592"/>
      <c r="T5" s="592" t="s">
        <v>124</v>
      </c>
      <c r="U5" s="592"/>
      <c r="V5" s="592"/>
      <c r="W5" s="592"/>
      <c r="X5" s="594"/>
      <c r="Y5" s="594"/>
      <c r="Z5" s="609"/>
      <c r="AA5" s="590"/>
    </row>
    <row r="6" spans="1:27" ht="20.100000000000001" customHeight="1" x14ac:dyDescent="0.25">
      <c r="A6" s="3" t="s">
        <v>131</v>
      </c>
      <c r="B6" s="3">
        <v>6</v>
      </c>
      <c r="C6" s="3">
        <v>2023</v>
      </c>
      <c r="G6" s="587"/>
      <c r="H6" s="587"/>
      <c r="I6" s="587"/>
      <c r="J6" s="339" t="s">
        <v>123</v>
      </c>
      <c r="K6" s="339" t="s">
        <v>124</v>
      </c>
      <c r="L6" s="340" t="s">
        <v>123</v>
      </c>
      <c r="M6" s="340" t="s">
        <v>124</v>
      </c>
      <c r="N6" s="340" t="s">
        <v>123</v>
      </c>
      <c r="O6" s="340" t="s">
        <v>124</v>
      </c>
      <c r="P6" s="341" t="s">
        <v>117</v>
      </c>
      <c r="Q6" s="341" t="s">
        <v>118</v>
      </c>
      <c r="R6" s="341" t="s">
        <v>119</v>
      </c>
      <c r="S6" s="341" t="s">
        <v>1</v>
      </c>
      <c r="T6" s="341" t="s">
        <v>117</v>
      </c>
      <c r="U6" s="341" t="s">
        <v>118</v>
      </c>
      <c r="V6" s="341" t="s">
        <v>119</v>
      </c>
      <c r="W6" s="341" t="s">
        <v>1</v>
      </c>
      <c r="X6" s="342" t="s">
        <v>123</v>
      </c>
      <c r="Y6" s="342" t="s">
        <v>124</v>
      </c>
      <c r="Z6" s="609"/>
      <c r="AA6" s="590"/>
    </row>
    <row r="7" spans="1:27" ht="24.95" customHeight="1" x14ac:dyDescent="0.25">
      <c r="A7" s="3" t="s">
        <v>132</v>
      </c>
      <c r="B7" s="3">
        <v>7</v>
      </c>
      <c r="C7" s="3">
        <v>2024</v>
      </c>
      <c r="D7" s="3" t="str">
        <f>IF(LEN(H7)&gt;=2,(IF(I7&gt;=2000,CONCATENATE(H7," ",I7),"")),"")</f>
        <v>मई 2019</v>
      </c>
      <c r="E7" s="3">
        <f ca="1">IFERROR(IF($D$1&gt;=F7,1,0),0)</f>
        <v>1</v>
      </c>
      <c r="F7" s="52">
        <f>IF(LEN(H7)&gt;=2,(IF(I7&gt;=2000,DATE(I7,VLOOKUP(H7,$A$1:$B$12,2,0),1),0)),0)</f>
        <v>43586</v>
      </c>
      <c r="G7" s="343">
        <f ca="1">IF(LEN(H7)&gt;=2,(IF(I7&gt;=2000,(IF(E7=1,B1,0)),0)),0)</f>
        <v>1</v>
      </c>
      <c r="H7" s="344" t="s">
        <v>130</v>
      </c>
      <c r="I7" s="344">
        <v>2019</v>
      </c>
      <c r="J7" s="345">
        <v>100</v>
      </c>
      <c r="K7" s="345">
        <v>150</v>
      </c>
      <c r="L7" s="346">
        <v>4.3499999999999996</v>
      </c>
      <c r="M7" s="346">
        <v>6.51</v>
      </c>
      <c r="N7" s="346">
        <v>3.08</v>
      </c>
      <c r="O7" s="347">
        <v>4.5999999999999996</v>
      </c>
      <c r="P7" s="348">
        <v>6</v>
      </c>
      <c r="Q7" s="348">
        <v>7</v>
      </c>
      <c r="R7" s="348">
        <v>7</v>
      </c>
      <c r="S7" s="348">
        <f>P7+Q7+R7</f>
        <v>20</v>
      </c>
      <c r="T7" s="348">
        <v>10</v>
      </c>
      <c r="U7" s="348">
        <v>10</v>
      </c>
      <c r="V7" s="348">
        <v>10</v>
      </c>
      <c r="W7" s="348">
        <f>T7+U7+V7</f>
        <v>30</v>
      </c>
      <c r="X7" s="349">
        <v>200</v>
      </c>
      <c r="Y7" s="349">
        <v>250</v>
      </c>
      <c r="Z7" s="350">
        <v>35</v>
      </c>
      <c r="AA7" s="351">
        <v>1320</v>
      </c>
    </row>
    <row r="8" spans="1:27" ht="24.95" customHeight="1" x14ac:dyDescent="0.25">
      <c r="A8" s="3" t="s">
        <v>133</v>
      </c>
      <c r="B8" s="3">
        <v>8</v>
      </c>
      <c r="C8" s="3">
        <v>2025</v>
      </c>
      <c r="D8" s="3" t="str">
        <f t="shared" ref="D8:D18" si="0">IF(LEN(H8)&gt;=2,(IF(I8&gt;=2000,CONCATENATE(H8," ",I8),"")),"")</f>
        <v>जून 2019</v>
      </c>
      <c r="E8" s="3">
        <f t="shared" ref="E8:E18" ca="1" si="1">IFERROR(IF($D$1&gt;=F8,1,0),0)</f>
        <v>1</v>
      </c>
      <c r="F8" s="52">
        <f t="shared" ref="F8:F18" si="2">IF(LEN(H8)&gt;=2,(IF(I8&gt;=2000,DATE(I8,VLOOKUP(H8,$A$1:$B$12,2,0),1),0)),0)</f>
        <v>43617</v>
      </c>
      <c r="G8" s="343">
        <f t="shared" ref="G8:G18" ca="1" si="3">IF(LEN(H8)&gt;=2,(IF(I8&gt;=2000,(IF(E8=1,B2,0)),0)),0)</f>
        <v>2</v>
      </c>
      <c r="H8" s="352" t="s">
        <v>131</v>
      </c>
      <c r="I8" s="352">
        <v>2019</v>
      </c>
      <c r="J8" s="353">
        <f>J7</f>
        <v>100</v>
      </c>
      <c r="K8" s="353">
        <f t="shared" ref="K8:AA8" si="4">K7</f>
        <v>150</v>
      </c>
      <c r="L8" s="354">
        <f t="shared" si="4"/>
        <v>4.3499999999999996</v>
      </c>
      <c r="M8" s="354">
        <f t="shared" si="4"/>
        <v>6.51</v>
      </c>
      <c r="N8" s="354">
        <f t="shared" ref="N8:O8" si="5">N7</f>
        <v>3.08</v>
      </c>
      <c r="O8" s="355">
        <f t="shared" si="5"/>
        <v>4.5999999999999996</v>
      </c>
      <c r="P8" s="356">
        <f t="shared" si="4"/>
        <v>6</v>
      </c>
      <c r="Q8" s="356">
        <f t="shared" si="4"/>
        <v>7</v>
      </c>
      <c r="R8" s="356">
        <f t="shared" si="4"/>
        <v>7</v>
      </c>
      <c r="S8" s="356">
        <f t="shared" si="4"/>
        <v>20</v>
      </c>
      <c r="T8" s="356">
        <f t="shared" si="4"/>
        <v>10</v>
      </c>
      <c r="U8" s="356">
        <f t="shared" si="4"/>
        <v>10</v>
      </c>
      <c r="V8" s="356">
        <f t="shared" si="4"/>
        <v>10</v>
      </c>
      <c r="W8" s="356">
        <f t="shared" si="4"/>
        <v>30</v>
      </c>
      <c r="X8" s="357">
        <f t="shared" si="4"/>
        <v>200</v>
      </c>
      <c r="Y8" s="357">
        <f t="shared" si="4"/>
        <v>250</v>
      </c>
      <c r="Z8" s="358">
        <f t="shared" si="4"/>
        <v>35</v>
      </c>
      <c r="AA8" s="359">
        <f t="shared" si="4"/>
        <v>1320</v>
      </c>
    </row>
    <row r="9" spans="1:27" ht="24.95" customHeight="1" x14ac:dyDescent="0.25">
      <c r="A9" s="3" t="s">
        <v>134</v>
      </c>
      <c r="B9" s="3">
        <v>9</v>
      </c>
      <c r="C9" s="3">
        <v>2026</v>
      </c>
      <c r="D9" s="3" t="str">
        <f t="shared" si="0"/>
        <v>जुलाई 2019</v>
      </c>
      <c r="E9" s="3">
        <f t="shared" ca="1" si="1"/>
        <v>1</v>
      </c>
      <c r="F9" s="52">
        <f t="shared" si="2"/>
        <v>43647</v>
      </c>
      <c r="G9" s="343">
        <f t="shared" ca="1" si="3"/>
        <v>3</v>
      </c>
      <c r="H9" s="344" t="s">
        <v>132</v>
      </c>
      <c r="I9" s="344">
        <v>2019</v>
      </c>
      <c r="J9" s="345">
        <f t="shared" ref="J9:J18" si="6">J8</f>
        <v>100</v>
      </c>
      <c r="K9" s="345">
        <f t="shared" ref="K9:K18" si="7">K8</f>
        <v>150</v>
      </c>
      <c r="L9" s="346">
        <f t="shared" ref="L9:L18" si="8">L8</f>
        <v>4.3499999999999996</v>
      </c>
      <c r="M9" s="346">
        <f t="shared" ref="M9:O18" si="9">M8</f>
        <v>6.51</v>
      </c>
      <c r="N9" s="354">
        <f t="shared" si="9"/>
        <v>3.08</v>
      </c>
      <c r="O9" s="355">
        <f t="shared" si="9"/>
        <v>4.5999999999999996</v>
      </c>
      <c r="P9" s="348">
        <f t="shared" ref="P9:P18" si="10">P8</f>
        <v>6</v>
      </c>
      <c r="Q9" s="348">
        <f t="shared" ref="Q9:Q18" si="11">Q8</f>
        <v>7</v>
      </c>
      <c r="R9" s="348">
        <f t="shared" ref="R9:R18" si="12">R8</f>
        <v>7</v>
      </c>
      <c r="S9" s="348">
        <f t="shared" ref="S9:S18" si="13">S8</f>
        <v>20</v>
      </c>
      <c r="T9" s="348">
        <f t="shared" ref="T9:T18" si="14">T8</f>
        <v>10</v>
      </c>
      <c r="U9" s="348">
        <f t="shared" ref="U9:U18" si="15">U8</f>
        <v>10</v>
      </c>
      <c r="V9" s="348">
        <f t="shared" ref="V9:V18" si="16">V8</f>
        <v>10</v>
      </c>
      <c r="W9" s="348">
        <f t="shared" ref="W9:W18" si="17">W8</f>
        <v>30</v>
      </c>
      <c r="X9" s="349">
        <f t="shared" ref="X9:X18" si="18">X8</f>
        <v>200</v>
      </c>
      <c r="Y9" s="349">
        <f t="shared" ref="Y9:Y18" si="19">Y8</f>
        <v>250</v>
      </c>
      <c r="Z9" s="350">
        <f t="shared" ref="Z9:Z18" si="20">Z8</f>
        <v>35</v>
      </c>
      <c r="AA9" s="351">
        <f t="shared" ref="AA9:AA18" si="21">AA8</f>
        <v>1320</v>
      </c>
    </row>
    <row r="10" spans="1:27" ht="24.95" customHeight="1" x14ac:dyDescent="0.25">
      <c r="A10" s="3" t="s">
        <v>135</v>
      </c>
      <c r="B10" s="3">
        <v>10</v>
      </c>
      <c r="C10" s="3">
        <v>2027</v>
      </c>
      <c r="D10" s="3" t="str">
        <f t="shared" si="0"/>
        <v>अगस्त 2019</v>
      </c>
      <c r="E10" s="3">
        <f t="shared" ca="1" si="1"/>
        <v>1</v>
      </c>
      <c r="F10" s="52">
        <f t="shared" si="2"/>
        <v>43678</v>
      </c>
      <c r="G10" s="343">
        <f t="shared" ca="1" si="3"/>
        <v>4</v>
      </c>
      <c r="H10" s="352" t="s">
        <v>133</v>
      </c>
      <c r="I10" s="352">
        <v>2019</v>
      </c>
      <c r="J10" s="353">
        <f t="shared" si="6"/>
        <v>100</v>
      </c>
      <c r="K10" s="353">
        <f t="shared" si="7"/>
        <v>150</v>
      </c>
      <c r="L10" s="354">
        <v>4.4800000000000004</v>
      </c>
      <c r="M10" s="354">
        <v>6.71</v>
      </c>
      <c r="N10" s="354">
        <v>3.17</v>
      </c>
      <c r="O10" s="355">
        <v>4.74</v>
      </c>
      <c r="P10" s="356">
        <f t="shared" si="10"/>
        <v>6</v>
      </c>
      <c r="Q10" s="356">
        <f t="shared" si="11"/>
        <v>7</v>
      </c>
      <c r="R10" s="356">
        <f t="shared" si="12"/>
        <v>7</v>
      </c>
      <c r="S10" s="356">
        <f t="shared" si="13"/>
        <v>20</v>
      </c>
      <c r="T10" s="356">
        <f t="shared" si="14"/>
        <v>10</v>
      </c>
      <c r="U10" s="356">
        <f t="shared" si="15"/>
        <v>10</v>
      </c>
      <c r="V10" s="356">
        <f t="shared" si="16"/>
        <v>10</v>
      </c>
      <c r="W10" s="356">
        <f t="shared" si="17"/>
        <v>30</v>
      </c>
      <c r="X10" s="357">
        <f t="shared" si="18"/>
        <v>200</v>
      </c>
      <c r="Y10" s="357">
        <f t="shared" si="19"/>
        <v>250</v>
      </c>
      <c r="Z10" s="358">
        <f t="shared" si="20"/>
        <v>35</v>
      </c>
      <c r="AA10" s="359">
        <f t="shared" si="21"/>
        <v>1320</v>
      </c>
    </row>
    <row r="11" spans="1:27" ht="24.95" customHeight="1" x14ac:dyDescent="0.25">
      <c r="A11" s="3" t="s">
        <v>136</v>
      </c>
      <c r="B11" s="3">
        <v>11</v>
      </c>
      <c r="C11" s="3">
        <v>2028</v>
      </c>
      <c r="D11" s="3" t="str">
        <f t="shared" si="0"/>
        <v>सितम्बर 2019</v>
      </c>
      <c r="E11" s="3">
        <f t="shared" ca="1" si="1"/>
        <v>1</v>
      </c>
      <c r="F11" s="52">
        <f t="shared" si="2"/>
        <v>43709</v>
      </c>
      <c r="G11" s="343">
        <f t="shared" ca="1" si="3"/>
        <v>5</v>
      </c>
      <c r="H11" s="344" t="s">
        <v>134</v>
      </c>
      <c r="I11" s="344">
        <v>2019</v>
      </c>
      <c r="J11" s="345">
        <f t="shared" si="6"/>
        <v>100</v>
      </c>
      <c r="K11" s="345">
        <f t="shared" si="7"/>
        <v>150</v>
      </c>
      <c r="L11" s="346">
        <f t="shared" si="8"/>
        <v>4.4800000000000004</v>
      </c>
      <c r="M11" s="346">
        <f t="shared" si="9"/>
        <v>6.71</v>
      </c>
      <c r="N11" s="354">
        <f t="shared" si="9"/>
        <v>3.17</v>
      </c>
      <c r="O11" s="355">
        <f t="shared" si="9"/>
        <v>4.74</v>
      </c>
      <c r="P11" s="348">
        <f t="shared" si="10"/>
        <v>6</v>
      </c>
      <c r="Q11" s="348">
        <f t="shared" si="11"/>
        <v>7</v>
      </c>
      <c r="R11" s="348">
        <f t="shared" si="12"/>
        <v>7</v>
      </c>
      <c r="S11" s="348">
        <f t="shared" si="13"/>
        <v>20</v>
      </c>
      <c r="T11" s="348">
        <f t="shared" si="14"/>
        <v>10</v>
      </c>
      <c r="U11" s="348">
        <f t="shared" si="15"/>
        <v>10</v>
      </c>
      <c r="V11" s="348">
        <f t="shared" si="16"/>
        <v>10</v>
      </c>
      <c r="W11" s="348">
        <f t="shared" si="17"/>
        <v>30</v>
      </c>
      <c r="X11" s="349">
        <f t="shared" si="18"/>
        <v>200</v>
      </c>
      <c r="Y11" s="349">
        <f t="shared" si="19"/>
        <v>250</v>
      </c>
      <c r="Z11" s="350">
        <v>37</v>
      </c>
      <c r="AA11" s="351">
        <f t="shared" si="21"/>
        <v>1320</v>
      </c>
    </row>
    <row r="12" spans="1:27" ht="24.95" customHeight="1" x14ac:dyDescent="0.25">
      <c r="A12" s="3" t="s">
        <v>137</v>
      </c>
      <c r="B12" s="3">
        <v>12</v>
      </c>
      <c r="C12" s="3">
        <v>2029</v>
      </c>
      <c r="D12" s="3" t="str">
        <f t="shared" si="0"/>
        <v>अक्टूम्बर 2019</v>
      </c>
      <c r="E12" s="3">
        <f t="shared" ca="1" si="1"/>
        <v>1</v>
      </c>
      <c r="F12" s="52">
        <f t="shared" si="2"/>
        <v>43739</v>
      </c>
      <c r="G12" s="343">
        <f t="shared" ca="1" si="3"/>
        <v>6</v>
      </c>
      <c r="H12" s="352" t="s">
        <v>135</v>
      </c>
      <c r="I12" s="352">
        <v>2019</v>
      </c>
      <c r="J12" s="353">
        <f t="shared" si="6"/>
        <v>100</v>
      </c>
      <c r="K12" s="353">
        <f t="shared" si="7"/>
        <v>150</v>
      </c>
      <c r="L12" s="354">
        <f t="shared" si="8"/>
        <v>4.4800000000000004</v>
      </c>
      <c r="M12" s="354">
        <f t="shared" si="9"/>
        <v>6.71</v>
      </c>
      <c r="N12" s="354">
        <f t="shared" si="9"/>
        <v>3.17</v>
      </c>
      <c r="O12" s="355">
        <f t="shared" si="9"/>
        <v>4.74</v>
      </c>
      <c r="P12" s="356">
        <f t="shared" si="10"/>
        <v>6</v>
      </c>
      <c r="Q12" s="356">
        <f t="shared" si="11"/>
        <v>7</v>
      </c>
      <c r="R12" s="356">
        <f t="shared" si="12"/>
        <v>7</v>
      </c>
      <c r="S12" s="356">
        <f t="shared" si="13"/>
        <v>20</v>
      </c>
      <c r="T12" s="356">
        <f t="shared" si="14"/>
        <v>10</v>
      </c>
      <c r="U12" s="356">
        <f t="shared" si="15"/>
        <v>10</v>
      </c>
      <c r="V12" s="356">
        <f t="shared" si="16"/>
        <v>10</v>
      </c>
      <c r="W12" s="356">
        <f t="shared" si="17"/>
        <v>30</v>
      </c>
      <c r="X12" s="357">
        <f t="shared" si="18"/>
        <v>200</v>
      </c>
      <c r="Y12" s="357">
        <f t="shared" si="19"/>
        <v>250</v>
      </c>
      <c r="Z12" s="358">
        <f t="shared" si="20"/>
        <v>37</v>
      </c>
      <c r="AA12" s="359">
        <f t="shared" si="21"/>
        <v>1320</v>
      </c>
    </row>
    <row r="13" spans="1:27" ht="24.95" customHeight="1" x14ac:dyDescent="0.25">
      <c r="C13" s="3">
        <v>2030</v>
      </c>
      <c r="D13" s="3" t="str">
        <f t="shared" si="0"/>
        <v>नवम्बर 2019</v>
      </c>
      <c r="E13" s="3">
        <f t="shared" ca="1" si="1"/>
        <v>1</v>
      </c>
      <c r="F13" s="52">
        <f t="shared" si="2"/>
        <v>43770</v>
      </c>
      <c r="G13" s="343">
        <f t="shared" ca="1" si="3"/>
        <v>7</v>
      </c>
      <c r="H13" s="344" t="s">
        <v>136</v>
      </c>
      <c r="I13" s="344">
        <v>2019</v>
      </c>
      <c r="J13" s="345">
        <f t="shared" si="6"/>
        <v>100</v>
      </c>
      <c r="K13" s="345">
        <f t="shared" si="7"/>
        <v>150</v>
      </c>
      <c r="L13" s="346">
        <f t="shared" si="8"/>
        <v>4.4800000000000004</v>
      </c>
      <c r="M13" s="346">
        <f t="shared" si="9"/>
        <v>6.71</v>
      </c>
      <c r="N13" s="354">
        <f t="shared" si="9"/>
        <v>3.17</v>
      </c>
      <c r="O13" s="355">
        <f t="shared" si="9"/>
        <v>4.74</v>
      </c>
      <c r="P13" s="348">
        <f t="shared" si="10"/>
        <v>6</v>
      </c>
      <c r="Q13" s="348">
        <f t="shared" si="11"/>
        <v>7</v>
      </c>
      <c r="R13" s="348">
        <f t="shared" si="12"/>
        <v>7</v>
      </c>
      <c r="S13" s="348">
        <f t="shared" si="13"/>
        <v>20</v>
      </c>
      <c r="T13" s="348">
        <f t="shared" si="14"/>
        <v>10</v>
      </c>
      <c r="U13" s="348">
        <f t="shared" si="15"/>
        <v>10</v>
      </c>
      <c r="V13" s="348">
        <f t="shared" si="16"/>
        <v>10</v>
      </c>
      <c r="W13" s="348">
        <f t="shared" si="17"/>
        <v>30</v>
      </c>
      <c r="X13" s="349">
        <f t="shared" si="18"/>
        <v>200</v>
      </c>
      <c r="Y13" s="349">
        <f t="shared" si="19"/>
        <v>250</v>
      </c>
      <c r="Z13" s="350">
        <f t="shared" si="20"/>
        <v>37</v>
      </c>
      <c r="AA13" s="351">
        <f t="shared" si="21"/>
        <v>1320</v>
      </c>
    </row>
    <row r="14" spans="1:27" ht="24.95" customHeight="1" x14ac:dyDescent="0.25">
      <c r="A14" s="3" t="s">
        <v>183</v>
      </c>
      <c r="D14" s="3" t="str">
        <f t="shared" si="0"/>
        <v>दिसम्बर 2019</v>
      </c>
      <c r="E14" s="3">
        <f t="shared" ca="1" si="1"/>
        <v>1</v>
      </c>
      <c r="F14" s="52">
        <f t="shared" si="2"/>
        <v>43800</v>
      </c>
      <c r="G14" s="343">
        <f t="shared" ca="1" si="3"/>
        <v>8</v>
      </c>
      <c r="H14" s="352" t="s">
        <v>137</v>
      </c>
      <c r="I14" s="352">
        <v>2019</v>
      </c>
      <c r="J14" s="353">
        <f t="shared" si="6"/>
        <v>100</v>
      </c>
      <c r="K14" s="353">
        <f t="shared" si="7"/>
        <v>150</v>
      </c>
      <c r="L14" s="354">
        <f t="shared" si="8"/>
        <v>4.4800000000000004</v>
      </c>
      <c r="M14" s="354">
        <f t="shared" si="9"/>
        <v>6.71</v>
      </c>
      <c r="N14" s="354">
        <f t="shared" si="9"/>
        <v>3.17</v>
      </c>
      <c r="O14" s="355">
        <f t="shared" si="9"/>
        <v>4.74</v>
      </c>
      <c r="P14" s="356">
        <f t="shared" si="10"/>
        <v>6</v>
      </c>
      <c r="Q14" s="356">
        <f t="shared" si="11"/>
        <v>7</v>
      </c>
      <c r="R14" s="356">
        <f t="shared" si="12"/>
        <v>7</v>
      </c>
      <c r="S14" s="356">
        <f t="shared" si="13"/>
        <v>20</v>
      </c>
      <c r="T14" s="356">
        <f t="shared" si="14"/>
        <v>10</v>
      </c>
      <c r="U14" s="356">
        <f t="shared" si="15"/>
        <v>10</v>
      </c>
      <c r="V14" s="356">
        <f t="shared" si="16"/>
        <v>10</v>
      </c>
      <c r="W14" s="356">
        <f t="shared" si="17"/>
        <v>30</v>
      </c>
      <c r="X14" s="357">
        <f t="shared" si="18"/>
        <v>200</v>
      </c>
      <c r="Y14" s="357">
        <f t="shared" si="19"/>
        <v>250</v>
      </c>
      <c r="Z14" s="358">
        <f t="shared" si="20"/>
        <v>37</v>
      </c>
      <c r="AA14" s="359">
        <f t="shared" si="21"/>
        <v>1320</v>
      </c>
    </row>
    <row r="15" spans="1:27" ht="24.95" customHeight="1" x14ac:dyDescent="0.25">
      <c r="A15" s="3" t="s">
        <v>184</v>
      </c>
      <c r="D15" s="3" t="str">
        <f t="shared" si="0"/>
        <v>जनवरी 2020</v>
      </c>
      <c r="E15" s="3">
        <f t="shared" ca="1" si="1"/>
        <v>1</v>
      </c>
      <c r="F15" s="52">
        <f t="shared" si="2"/>
        <v>43831</v>
      </c>
      <c r="G15" s="343">
        <f t="shared" ca="1" si="3"/>
        <v>9</v>
      </c>
      <c r="H15" s="344" t="s">
        <v>138</v>
      </c>
      <c r="I15" s="344">
        <v>2020</v>
      </c>
      <c r="J15" s="345">
        <f t="shared" si="6"/>
        <v>100</v>
      </c>
      <c r="K15" s="345">
        <f t="shared" si="7"/>
        <v>150</v>
      </c>
      <c r="L15" s="346">
        <f t="shared" si="8"/>
        <v>4.4800000000000004</v>
      </c>
      <c r="M15" s="346">
        <f t="shared" si="9"/>
        <v>6.71</v>
      </c>
      <c r="N15" s="354">
        <f t="shared" si="9"/>
        <v>3.17</v>
      </c>
      <c r="O15" s="355">
        <f t="shared" si="9"/>
        <v>4.74</v>
      </c>
      <c r="P15" s="348">
        <f t="shared" si="10"/>
        <v>6</v>
      </c>
      <c r="Q15" s="348">
        <f t="shared" si="11"/>
        <v>7</v>
      </c>
      <c r="R15" s="348">
        <f t="shared" si="12"/>
        <v>7</v>
      </c>
      <c r="S15" s="348">
        <f t="shared" si="13"/>
        <v>20</v>
      </c>
      <c r="T15" s="348">
        <f t="shared" si="14"/>
        <v>10</v>
      </c>
      <c r="U15" s="348">
        <f t="shared" si="15"/>
        <v>10</v>
      </c>
      <c r="V15" s="348">
        <f t="shared" si="16"/>
        <v>10</v>
      </c>
      <c r="W15" s="348">
        <f t="shared" si="17"/>
        <v>30</v>
      </c>
      <c r="X15" s="349">
        <f t="shared" si="18"/>
        <v>200</v>
      </c>
      <c r="Y15" s="349">
        <f t="shared" si="19"/>
        <v>250</v>
      </c>
      <c r="Z15" s="350">
        <f t="shared" si="20"/>
        <v>37</v>
      </c>
      <c r="AA15" s="351">
        <f t="shared" si="21"/>
        <v>1320</v>
      </c>
    </row>
    <row r="16" spans="1:27" ht="24.95" customHeight="1" x14ac:dyDescent="0.25">
      <c r="A16" s="3" t="s">
        <v>185</v>
      </c>
      <c r="D16" s="3" t="str">
        <f t="shared" si="0"/>
        <v>फरवरी 2020</v>
      </c>
      <c r="E16" s="3">
        <f t="shared" ca="1" si="1"/>
        <v>0</v>
      </c>
      <c r="F16" s="52">
        <f t="shared" si="2"/>
        <v>43862</v>
      </c>
      <c r="G16" s="343">
        <f t="shared" ca="1" si="3"/>
        <v>0</v>
      </c>
      <c r="H16" s="352" t="s">
        <v>139</v>
      </c>
      <c r="I16" s="352">
        <v>2020</v>
      </c>
      <c r="J16" s="353">
        <f t="shared" si="6"/>
        <v>100</v>
      </c>
      <c r="K16" s="353">
        <f t="shared" si="7"/>
        <v>150</v>
      </c>
      <c r="L16" s="354">
        <f t="shared" si="8"/>
        <v>4.4800000000000004</v>
      </c>
      <c r="M16" s="354">
        <f t="shared" si="9"/>
        <v>6.71</v>
      </c>
      <c r="N16" s="354">
        <f t="shared" si="9"/>
        <v>3.17</v>
      </c>
      <c r="O16" s="355">
        <f t="shared" si="9"/>
        <v>4.74</v>
      </c>
      <c r="P16" s="356">
        <f t="shared" si="10"/>
        <v>6</v>
      </c>
      <c r="Q16" s="356">
        <f t="shared" si="11"/>
        <v>7</v>
      </c>
      <c r="R16" s="356">
        <f t="shared" si="12"/>
        <v>7</v>
      </c>
      <c r="S16" s="356">
        <f t="shared" si="13"/>
        <v>20</v>
      </c>
      <c r="T16" s="356">
        <f t="shared" si="14"/>
        <v>10</v>
      </c>
      <c r="U16" s="356">
        <f t="shared" si="15"/>
        <v>10</v>
      </c>
      <c r="V16" s="356">
        <f t="shared" si="16"/>
        <v>10</v>
      </c>
      <c r="W16" s="356">
        <f t="shared" si="17"/>
        <v>30</v>
      </c>
      <c r="X16" s="357">
        <f t="shared" si="18"/>
        <v>200</v>
      </c>
      <c r="Y16" s="357">
        <f t="shared" si="19"/>
        <v>250</v>
      </c>
      <c r="Z16" s="358">
        <f t="shared" si="20"/>
        <v>37</v>
      </c>
      <c r="AA16" s="359">
        <f t="shared" si="21"/>
        <v>1320</v>
      </c>
    </row>
    <row r="17" spans="1:27" ht="24.95" customHeight="1" x14ac:dyDescent="0.25">
      <c r="A17" s="3" t="s">
        <v>186</v>
      </c>
      <c r="D17" s="3" t="str">
        <f t="shared" si="0"/>
        <v>मार्च 2020</v>
      </c>
      <c r="E17" s="3">
        <f t="shared" ca="1" si="1"/>
        <v>0</v>
      </c>
      <c r="F17" s="52">
        <f t="shared" si="2"/>
        <v>43891</v>
      </c>
      <c r="G17" s="343">
        <f t="shared" ca="1" si="3"/>
        <v>0</v>
      </c>
      <c r="H17" s="344" t="s">
        <v>140</v>
      </c>
      <c r="I17" s="344">
        <v>2020</v>
      </c>
      <c r="J17" s="345">
        <f t="shared" si="6"/>
        <v>100</v>
      </c>
      <c r="K17" s="345">
        <f t="shared" si="7"/>
        <v>150</v>
      </c>
      <c r="L17" s="346">
        <f t="shared" si="8"/>
        <v>4.4800000000000004</v>
      </c>
      <c r="M17" s="346">
        <f t="shared" si="9"/>
        <v>6.71</v>
      </c>
      <c r="N17" s="354">
        <f t="shared" si="9"/>
        <v>3.17</v>
      </c>
      <c r="O17" s="355">
        <f t="shared" si="9"/>
        <v>4.74</v>
      </c>
      <c r="P17" s="348">
        <f t="shared" si="10"/>
        <v>6</v>
      </c>
      <c r="Q17" s="348">
        <f t="shared" si="11"/>
        <v>7</v>
      </c>
      <c r="R17" s="348">
        <f t="shared" si="12"/>
        <v>7</v>
      </c>
      <c r="S17" s="348">
        <f t="shared" si="13"/>
        <v>20</v>
      </c>
      <c r="T17" s="348">
        <f t="shared" si="14"/>
        <v>10</v>
      </c>
      <c r="U17" s="348">
        <f t="shared" si="15"/>
        <v>10</v>
      </c>
      <c r="V17" s="348">
        <f t="shared" si="16"/>
        <v>10</v>
      </c>
      <c r="W17" s="348">
        <f t="shared" si="17"/>
        <v>30</v>
      </c>
      <c r="X17" s="349">
        <f t="shared" si="18"/>
        <v>200</v>
      </c>
      <c r="Y17" s="349">
        <f t="shared" si="19"/>
        <v>250</v>
      </c>
      <c r="Z17" s="350">
        <f t="shared" si="20"/>
        <v>37</v>
      </c>
      <c r="AA17" s="351">
        <f t="shared" si="21"/>
        <v>1320</v>
      </c>
    </row>
    <row r="18" spans="1:27" ht="24.95" customHeight="1" x14ac:dyDescent="0.25">
      <c r="A18" s="3" t="s">
        <v>187</v>
      </c>
      <c r="D18" s="3" t="str">
        <f t="shared" si="0"/>
        <v>अप्रैल 2020</v>
      </c>
      <c r="E18" s="3">
        <f t="shared" ca="1" si="1"/>
        <v>0</v>
      </c>
      <c r="F18" s="52">
        <f t="shared" si="2"/>
        <v>43922</v>
      </c>
      <c r="G18" s="343">
        <f t="shared" ca="1" si="3"/>
        <v>0</v>
      </c>
      <c r="H18" s="352" t="s">
        <v>141</v>
      </c>
      <c r="I18" s="352">
        <v>2020</v>
      </c>
      <c r="J18" s="353">
        <f t="shared" si="6"/>
        <v>100</v>
      </c>
      <c r="K18" s="353">
        <f t="shared" si="7"/>
        <v>150</v>
      </c>
      <c r="L18" s="354">
        <f t="shared" si="8"/>
        <v>4.4800000000000004</v>
      </c>
      <c r="M18" s="354">
        <f t="shared" si="9"/>
        <v>6.71</v>
      </c>
      <c r="N18" s="354">
        <f t="shared" si="9"/>
        <v>3.17</v>
      </c>
      <c r="O18" s="355">
        <f t="shared" si="9"/>
        <v>4.74</v>
      </c>
      <c r="P18" s="356">
        <f t="shared" si="10"/>
        <v>6</v>
      </c>
      <c r="Q18" s="356">
        <f t="shared" si="11"/>
        <v>7</v>
      </c>
      <c r="R18" s="356">
        <f t="shared" si="12"/>
        <v>7</v>
      </c>
      <c r="S18" s="356">
        <f t="shared" si="13"/>
        <v>20</v>
      </c>
      <c r="T18" s="356">
        <f t="shared" si="14"/>
        <v>10</v>
      </c>
      <c r="U18" s="356">
        <f t="shared" si="15"/>
        <v>10</v>
      </c>
      <c r="V18" s="356">
        <f t="shared" si="16"/>
        <v>10</v>
      </c>
      <c r="W18" s="356">
        <f t="shared" si="17"/>
        <v>30</v>
      </c>
      <c r="X18" s="357">
        <f t="shared" si="18"/>
        <v>200</v>
      </c>
      <c r="Y18" s="357">
        <f t="shared" si="19"/>
        <v>250</v>
      </c>
      <c r="Z18" s="358">
        <f t="shared" si="20"/>
        <v>37</v>
      </c>
      <c r="AA18" s="359">
        <f t="shared" si="21"/>
        <v>1320</v>
      </c>
    </row>
    <row r="19" spans="1:27" x14ac:dyDescent="0.25">
      <c r="A19" s="3" t="s">
        <v>188</v>
      </c>
    </row>
  </sheetData>
  <sheetProtection password="C9DB" sheet="1" objects="1" scenarios="1"/>
  <mergeCells count="26">
    <mergeCell ref="Q2:R2"/>
    <mergeCell ref="S2:T2"/>
    <mergeCell ref="U2:V2"/>
    <mergeCell ref="W2:X2"/>
    <mergeCell ref="Z4:Z6"/>
    <mergeCell ref="W1:X1"/>
    <mergeCell ref="AA4:AA6"/>
    <mergeCell ref="I4:I6"/>
    <mergeCell ref="P4:W4"/>
    <mergeCell ref="P5:S5"/>
    <mergeCell ref="T5:W5"/>
    <mergeCell ref="J4:K5"/>
    <mergeCell ref="X4:Y5"/>
    <mergeCell ref="K1:L1"/>
    <mergeCell ref="M1:P1"/>
    <mergeCell ref="Q1:R1"/>
    <mergeCell ref="S1:T1"/>
    <mergeCell ref="U1:V1"/>
    <mergeCell ref="K2:L2"/>
    <mergeCell ref="M2:P2"/>
    <mergeCell ref="J3:S3"/>
    <mergeCell ref="L4:O4"/>
    <mergeCell ref="L5:M5"/>
    <mergeCell ref="N5:O5"/>
    <mergeCell ref="G4:G6"/>
    <mergeCell ref="H4:H6"/>
  </mergeCells>
  <conditionalFormatting sqref="G7:AA18">
    <cfRule type="expression" dxfId="235" priority="1">
      <formula>$D$1&lt;=$F7</formula>
    </cfRule>
    <cfRule type="expression" dxfId="234" priority="37">
      <formula>MOD($G7,2)=0</formula>
    </cfRule>
  </conditionalFormatting>
  <conditionalFormatting sqref="J8:AA8 N8:O18">
    <cfRule type="cellIs" dxfId="233" priority="35" operator="equal">
      <formula>0</formula>
    </cfRule>
  </conditionalFormatting>
  <conditionalFormatting sqref="H8:I8">
    <cfRule type="cellIs" dxfId="232" priority="34" operator="equal">
      <formula>0</formula>
    </cfRule>
  </conditionalFormatting>
  <conditionalFormatting sqref="J10:AA10">
    <cfRule type="cellIs" dxfId="231" priority="33" operator="equal">
      <formula>0</formula>
    </cfRule>
  </conditionalFormatting>
  <conditionalFormatting sqref="H10:I10">
    <cfRule type="cellIs" dxfId="230" priority="32" operator="equal">
      <formula>0</formula>
    </cfRule>
  </conditionalFormatting>
  <conditionalFormatting sqref="J12:AA12">
    <cfRule type="cellIs" dxfId="229" priority="31" operator="equal">
      <formula>0</formula>
    </cfRule>
  </conditionalFormatting>
  <conditionalFormatting sqref="H12:I12">
    <cfRule type="cellIs" dxfId="228" priority="30" operator="equal">
      <formula>0</formula>
    </cfRule>
  </conditionalFormatting>
  <conditionalFormatting sqref="J14:AA14">
    <cfRule type="cellIs" dxfId="227" priority="29" operator="equal">
      <formula>0</formula>
    </cfRule>
  </conditionalFormatting>
  <conditionalFormatting sqref="H14:I14">
    <cfRule type="cellIs" dxfId="226" priority="28" operator="equal">
      <formula>0</formula>
    </cfRule>
  </conditionalFormatting>
  <conditionalFormatting sqref="J16:AA16">
    <cfRule type="cellIs" dxfId="225" priority="27" operator="equal">
      <formula>0</formula>
    </cfRule>
  </conditionalFormatting>
  <conditionalFormatting sqref="H16:I16">
    <cfRule type="cellIs" dxfId="224" priority="26" operator="equal">
      <formula>0</formula>
    </cfRule>
  </conditionalFormatting>
  <conditionalFormatting sqref="J18:AA18">
    <cfRule type="cellIs" dxfId="223" priority="25" operator="equal">
      <formula>0</formula>
    </cfRule>
  </conditionalFormatting>
  <conditionalFormatting sqref="H18:I18">
    <cfRule type="cellIs" dxfId="222" priority="24" operator="equal">
      <formula>0</formula>
    </cfRule>
  </conditionalFormatting>
  <conditionalFormatting sqref="H7:AA7">
    <cfRule type="cellIs" dxfId="221" priority="23" operator="equal">
      <formula>0</formula>
    </cfRule>
  </conditionalFormatting>
  <conditionalFormatting sqref="H9:AA9">
    <cfRule type="cellIs" dxfId="220" priority="22" operator="equal">
      <formula>0</formula>
    </cfRule>
  </conditionalFormatting>
  <conditionalFormatting sqref="H11:AA11">
    <cfRule type="cellIs" dxfId="219" priority="21" operator="equal">
      <formula>0</formula>
    </cfRule>
  </conditionalFormatting>
  <conditionalFormatting sqref="H13:AA13">
    <cfRule type="cellIs" dxfId="218" priority="20" operator="equal">
      <formula>0</formula>
    </cfRule>
  </conditionalFormatting>
  <conditionalFormatting sqref="H15:AA15">
    <cfRule type="cellIs" dxfId="217" priority="19" operator="equal">
      <formula>0</formula>
    </cfRule>
  </conditionalFormatting>
  <conditionalFormatting sqref="H17:AA17">
    <cfRule type="cellIs" dxfId="216" priority="18" operator="equal">
      <formula>0</formula>
    </cfRule>
  </conditionalFormatting>
  <dataValidations count="3">
    <dataValidation type="list" allowBlank="1" showInputMessage="1" showErrorMessage="1" sqref="I7:I18" xr:uid="{00000000-0002-0000-0100-000000000000}">
      <formula1>$C$1:$C$13</formula1>
    </dataValidation>
    <dataValidation type="list" allowBlank="1" showInputMessage="1" showErrorMessage="1" sqref="H7:H18" xr:uid="{00000000-0002-0000-0100-000001000000}">
      <formula1>$A$1:$A$12</formula1>
    </dataValidation>
    <dataValidation type="list" allowBlank="1" showInputMessage="1" showErrorMessage="1" sqref="T3" xr:uid="{00000000-0002-0000-0100-000002000000}">
      <formula1>$A$14:$A$19</formula1>
    </dataValidation>
  </dataValidations>
  <pageMargins left="0" right="0" top="0" bottom="0" header="0" footer="0"/>
  <pageSetup paperSize="9" scale="75"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5" tint="-0.499984740745262"/>
  </sheetPr>
  <dimension ref="A1:AN32"/>
  <sheetViews>
    <sheetView view="pageBreakPreview" zoomScaleSheetLayoutView="100" workbookViewId="0">
      <pane xSplit="8" ySplit="3" topLeftCell="I4" activePane="bottomRight" state="frozen"/>
      <selection activeCell="G1" sqref="G1"/>
      <selection pane="topRight" activeCell="I1" sqref="I1"/>
      <selection pane="bottomLeft" activeCell="G4" sqref="G4"/>
      <selection pane="bottomRight" activeCell="AB6" sqref="AB6"/>
    </sheetView>
  </sheetViews>
  <sheetFormatPr defaultRowHeight="15" x14ac:dyDescent="0.25"/>
  <cols>
    <col min="1" max="3" width="9.140625" style="3" hidden="1" customWidth="1"/>
    <col min="4" max="5" width="11.28515625" style="3" hidden="1" customWidth="1"/>
    <col min="6" max="6" width="9.140625" style="3" hidden="1" customWidth="1"/>
    <col min="7" max="7" width="4.7109375" style="3" customWidth="1"/>
    <col min="8" max="8" width="20" style="3" customWidth="1"/>
    <col min="9" max="9" width="25.7109375" style="3" customWidth="1"/>
    <col min="10" max="10" width="18.7109375" style="3" customWidth="1"/>
    <col min="11" max="11" width="8.42578125" style="3" customWidth="1"/>
    <col min="12" max="12" width="9.7109375" style="3" customWidth="1"/>
    <col min="13" max="13" width="25.7109375" style="3" customWidth="1"/>
    <col min="14" max="14" width="18.7109375" style="3" customWidth="1"/>
    <col min="15" max="16" width="15.7109375" style="3" customWidth="1"/>
    <col min="17" max="17" width="20.7109375" style="3" customWidth="1"/>
    <col min="18" max="18" width="25.7109375" style="3" customWidth="1"/>
    <col min="19" max="19" width="12.7109375" style="3" customWidth="1"/>
    <col min="20" max="20" width="20.7109375" style="3" customWidth="1"/>
    <col min="21" max="21" width="27.140625" style="3" customWidth="1"/>
    <col min="22" max="22" width="27.42578125" style="3" customWidth="1"/>
    <col min="23" max="23" width="8.42578125" style="3" customWidth="1"/>
    <col min="24" max="24" width="10.7109375" style="3" customWidth="1"/>
    <col min="25" max="27" width="8.7109375" style="3" customWidth="1"/>
    <col min="28" max="28" width="10.7109375" style="3" customWidth="1"/>
    <col min="29" max="30" width="8.7109375" style="3" customWidth="1"/>
    <col min="31" max="40" width="9.140625" style="3" hidden="1" customWidth="1"/>
    <col min="41" max="16384" width="9.140625" style="3"/>
  </cols>
  <sheetData>
    <row r="1" spans="1:40" ht="26.25" x14ac:dyDescent="0.4">
      <c r="A1" s="47" t="s">
        <v>71</v>
      </c>
      <c r="B1" s="47" t="s">
        <v>224</v>
      </c>
      <c r="C1" s="47"/>
      <c r="D1" s="51">
        <f ca="1">TODAY()</f>
        <v>43856</v>
      </c>
      <c r="E1" s="50">
        <f ca="1">MONTH(D1)</f>
        <v>1</v>
      </c>
      <c r="G1" s="610"/>
      <c r="H1" s="610"/>
      <c r="I1" s="610"/>
      <c r="J1" s="610"/>
      <c r="K1" s="610"/>
      <c r="L1" s="610"/>
      <c r="M1" s="610"/>
      <c r="N1" s="268" t="s">
        <v>36</v>
      </c>
      <c r="O1" s="613"/>
      <c r="P1" s="613"/>
      <c r="Q1" s="268"/>
      <c r="R1" s="268"/>
      <c r="S1" s="268" t="s">
        <v>272</v>
      </c>
      <c r="T1" s="335"/>
      <c r="U1" s="269" t="s">
        <v>273</v>
      </c>
      <c r="V1" s="336"/>
      <c r="W1" s="611" t="s">
        <v>274</v>
      </c>
      <c r="X1" s="611"/>
      <c r="Y1" s="611"/>
      <c r="Z1" s="612"/>
      <c r="AA1" s="612"/>
      <c r="AB1" s="612"/>
      <c r="AC1" s="612"/>
      <c r="AD1" s="612"/>
    </row>
    <row r="2" spans="1:40" ht="39.950000000000003" customHeight="1" x14ac:dyDescent="0.25">
      <c r="A2" s="47" t="s">
        <v>216</v>
      </c>
      <c r="B2" s="47" t="s">
        <v>225</v>
      </c>
      <c r="C2" s="47"/>
      <c r="D2" s="47"/>
      <c r="E2" s="47"/>
      <c r="G2" s="623" t="s">
        <v>69</v>
      </c>
      <c r="H2" s="623" t="s">
        <v>162</v>
      </c>
      <c r="I2" s="618" t="s">
        <v>164</v>
      </c>
      <c r="J2" s="618" t="s">
        <v>235</v>
      </c>
      <c r="K2" s="624" t="s">
        <v>214</v>
      </c>
      <c r="L2" s="626" t="s">
        <v>215</v>
      </c>
      <c r="M2" s="622" t="s">
        <v>41</v>
      </c>
      <c r="N2" s="622" t="s">
        <v>42</v>
      </c>
      <c r="O2" s="615" t="s">
        <v>43</v>
      </c>
      <c r="P2" s="615"/>
      <c r="Q2" s="615"/>
      <c r="R2" s="615"/>
      <c r="S2" s="614" t="s">
        <v>85</v>
      </c>
      <c r="T2" s="614"/>
      <c r="U2" s="614"/>
      <c r="V2" s="617" t="s">
        <v>48</v>
      </c>
      <c r="W2" s="617"/>
      <c r="X2" s="618" t="s">
        <v>51</v>
      </c>
      <c r="Y2" s="619" t="s">
        <v>52</v>
      </c>
      <c r="Z2" s="619"/>
      <c r="AA2" s="620" t="s">
        <v>55</v>
      </c>
      <c r="AB2" s="621" t="s">
        <v>56</v>
      </c>
      <c r="AC2" s="622" t="s">
        <v>57</v>
      </c>
      <c r="AD2" s="616" t="s">
        <v>177</v>
      </c>
      <c r="AG2" s="3" t="s">
        <v>58</v>
      </c>
      <c r="AH2" s="3">
        <v>1</v>
      </c>
      <c r="AI2" s="3" t="s">
        <v>59</v>
      </c>
      <c r="AJ2" s="3">
        <v>1</v>
      </c>
      <c r="AK2" s="3" t="s">
        <v>64</v>
      </c>
      <c r="AL2" s="3">
        <v>1</v>
      </c>
      <c r="AM2" s="3" t="s">
        <v>67</v>
      </c>
      <c r="AN2" s="3">
        <v>2</v>
      </c>
    </row>
    <row r="3" spans="1:40" ht="21.75" customHeight="1" x14ac:dyDescent="0.25">
      <c r="A3" s="47" t="s">
        <v>72</v>
      </c>
      <c r="B3" s="47" t="s">
        <v>226</v>
      </c>
      <c r="C3" s="47"/>
      <c r="D3" s="47"/>
      <c r="E3" s="47"/>
      <c r="G3" s="623"/>
      <c r="H3" s="623"/>
      <c r="I3" s="618"/>
      <c r="J3" s="618"/>
      <c r="K3" s="625"/>
      <c r="L3" s="627"/>
      <c r="M3" s="622"/>
      <c r="N3" s="622"/>
      <c r="O3" s="400" t="s">
        <v>44</v>
      </c>
      <c r="P3" s="400" t="s">
        <v>45</v>
      </c>
      <c r="Q3" s="400" t="s">
        <v>46</v>
      </c>
      <c r="R3" s="400" t="s">
        <v>47</v>
      </c>
      <c r="S3" s="399" t="s">
        <v>86</v>
      </c>
      <c r="T3" s="399" t="s">
        <v>83</v>
      </c>
      <c r="U3" s="399" t="s">
        <v>84</v>
      </c>
      <c r="V3" s="49" t="s">
        <v>49</v>
      </c>
      <c r="W3" s="49" t="s">
        <v>50</v>
      </c>
      <c r="X3" s="618"/>
      <c r="Y3" s="48" t="s">
        <v>53</v>
      </c>
      <c r="Z3" s="48" t="s">
        <v>54</v>
      </c>
      <c r="AA3" s="620"/>
      <c r="AB3" s="621"/>
      <c r="AC3" s="622"/>
      <c r="AD3" s="616"/>
      <c r="AG3" s="3" t="s">
        <v>61</v>
      </c>
      <c r="AH3" s="3">
        <v>2</v>
      </c>
      <c r="AI3" s="3" t="s">
        <v>60</v>
      </c>
      <c r="AJ3" s="3">
        <v>2</v>
      </c>
      <c r="AK3" s="3" t="s">
        <v>65</v>
      </c>
      <c r="AL3" s="3">
        <v>2</v>
      </c>
      <c r="AM3" s="3" t="s">
        <v>68</v>
      </c>
      <c r="AN3" s="3">
        <v>1</v>
      </c>
    </row>
    <row r="4" spans="1:40" ht="30" customHeight="1" x14ac:dyDescent="0.25">
      <c r="A4" s="47" t="s">
        <v>217</v>
      </c>
      <c r="B4" s="47" t="s">
        <v>225</v>
      </c>
      <c r="C4" s="47"/>
      <c r="D4" s="51">
        <f>HOME!F7</f>
        <v>43586</v>
      </c>
      <c r="E4" s="47" t="s">
        <v>224</v>
      </c>
      <c r="F4" s="3">
        <f ca="1">IF(G4&gt;=1,MOD(G4,3),0)</f>
        <v>1</v>
      </c>
      <c r="G4" s="401">
        <f ca="1">HOME!G7</f>
        <v>1</v>
      </c>
      <c r="H4" s="44" t="str">
        <f>HOME!D7</f>
        <v>मई 2019</v>
      </c>
      <c r="I4" s="311"/>
      <c r="J4" s="312"/>
      <c r="K4" s="313"/>
      <c r="L4" s="314"/>
      <c r="M4" s="315"/>
      <c r="N4" s="316"/>
      <c r="O4" s="317"/>
      <c r="P4" s="317"/>
      <c r="Q4" s="317"/>
      <c r="R4" s="317"/>
      <c r="S4" s="318"/>
      <c r="T4" s="318"/>
      <c r="U4" s="319"/>
      <c r="V4" s="320"/>
      <c r="W4" s="321"/>
      <c r="X4" s="312"/>
      <c r="Y4" s="313"/>
      <c r="Z4" s="313"/>
      <c r="AA4" s="322"/>
      <c r="AB4" s="317"/>
      <c r="AC4" s="316"/>
      <c r="AD4" s="314"/>
      <c r="AE4" s="402">
        <f ca="1">IF(G4&gt;=1,(IF(LEN(K4)&gt;=3,VLOOKUP(K4,$A$1:$B$10,2,0),0)),0)</f>
        <v>0</v>
      </c>
      <c r="AF4" s="3">
        <f ca="1">IF(G4&gt;=1,(IF(LEN(L4)&gt;=2,VLOOKUP(L4,$AM$2:$AN$3,2,0),0)),0)</f>
        <v>0</v>
      </c>
      <c r="AG4" s="3" t="s">
        <v>63</v>
      </c>
      <c r="AH4" s="3">
        <v>3</v>
      </c>
      <c r="AI4" s="402">
        <f ca="1">IFERROR(IF(G4&gt;=1,VLOOKUP(K4,$A$1:$C$10,2,0),0),0)</f>
        <v>0</v>
      </c>
      <c r="AJ4" s="402">
        <f ca="1">IFERROR(IF(G4&gt;=1,VLOOKUP(K4,$A$1:$C$10,3,0),0),0)</f>
        <v>0</v>
      </c>
      <c r="AK4" s="3" t="s">
        <v>236</v>
      </c>
      <c r="AL4" s="3">
        <v>3</v>
      </c>
    </row>
    <row r="5" spans="1:40" ht="30" customHeight="1" x14ac:dyDescent="0.25">
      <c r="A5" s="47" t="s">
        <v>218</v>
      </c>
      <c r="B5" s="47" t="s">
        <v>226</v>
      </c>
      <c r="C5" s="47"/>
      <c r="D5" s="51">
        <f>HOME!F8</f>
        <v>43617</v>
      </c>
      <c r="E5" s="47" t="s">
        <v>225</v>
      </c>
      <c r="F5" s="3">
        <f t="shared" ref="F5:F15" ca="1" si="0">IF(G5&gt;=1,MOD(G5,3),0)</f>
        <v>2</v>
      </c>
      <c r="G5" s="401">
        <f ca="1">HOME!G8</f>
        <v>2</v>
      </c>
      <c r="H5" s="44" t="str">
        <f>HOME!D8</f>
        <v>जून 2019</v>
      </c>
      <c r="I5" s="323">
        <f t="shared" ref="I5:AD5" si="1">I4</f>
        <v>0</v>
      </c>
      <c r="J5" s="324">
        <f t="shared" si="1"/>
        <v>0</v>
      </c>
      <c r="K5" s="325">
        <f t="shared" si="1"/>
        <v>0</v>
      </c>
      <c r="L5" s="326">
        <f t="shared" ref="L5:L15" si="2">L4</f>
        <v>0</v>
      </c>
      <c r="M5" s="327">
        <f t="shared" si="1"/>
        <v>0</v>
      </c>
      <c r="N5" s="328">
        <f t="shared" si="1"/>
        <v>0</v>
      </c>
      <c r="O5" s="329">
        <f t="shared" si="1"/>
        <v>0</v>
      </c>
      <c r="P5" s="329">
        <f t="shared" si="1"/>
        <v>0</v>
      </c>
      <c r="Q5" s="329">
        <f t="shared" si="1"/>
        <v>0</v>
      </c>
      <c r="R5" s="329">
        <f t="shared" si="1"/>
        <v>0</v>
      </c>
      <c r="S5" s="330">
        <f t="shared" si="1"/>
        <v>0</v>
      </c>
      <c r="T5" s="330">
        <f t="shared" si="1"/>
        <v>0</v>
      </c>
      <c r="U5" s="331">
        <f t="shared" si="1"/>
        <v>0</v>
      </c>
      <c r="V5" s="332">
        <f t="shared" si="1"/>
        <v>0</v>
      </c>
      <c r="W5" s="333">
        <f t="shared" si="1"/>
        <v>0</v>
      </c>
      <c r="X5" s="324">
        <f t="shared" si="1"/>
        <v>0</v>
      </c>
      <c r="Y5" s="325">
        <f t="shared" si="1"/>
        <v>0</v>
      </c>
      <c r="Z5" s="325">
        <f t="shared" si="1"/>
        <v>0</v>
      </c>
      <c r="AA5" s="334">
        <f t="shared" si="1"/>
        <v>0</v>
      </c>
      <c r="AB5" s="329">
        <f t="shared" si="1"/>
        <v>0</v>
      </c>
      <c r="AC5" s="328">
        <f t="shared" si="1"/>
        <v>0</v>
      </c>
      <c r="AD5" s="326">
        <f t="shared" si="1"/>
        <v>0</v>
      </c>
      <c r="AE5" s="402">
        <f ca="1">IF(G5&gt;=1,(IF(LEN(K5)&gt;=3,VLOOKUP(K5,$A$1:$B$10,2,0),0)),0)</f>
        <v>0</v>
      </c>
      <c r="AF5" s="3">
        <f t="shared" ref="AF5:AF15" ca="1" si="3">IF(G5&gt;=1,(IF(LEN(L5)&gt;=2,VLOOKUP(L5,$AM$2:$AN$3,2,0),0)),0)</f>
        <v>0</v>
      </c>
      <c r="AG5" s="3" t="s">
        <v>62</v>
      </c>
      <c r="AH5" s="3">
        <v>4</v>
      </c>
      <c r="AI5" s="402">
        <f t="shared" ref="AI5:AI15" ca="1" si="4">IFERROR(IF(G5&gt;=1,VLOOKUP(K5,$A$1:$C$10,2,0),0),0)</f>
        <v>0</v>
      </c>
      <c r="AJ5" s="402">
        <f t="shared" ref="AJ5:AJ15" ca="1" si="5">IFERROR(IF(G5&gt;=1,VLOOKUP(K5,$A$1:$C$10,3,0),0),0)</f>
        <v>0</v>
      </c>
    </row>
    <row r="6" spans="1:40" ht="30" customHeight="1" x14ac:dyDescent="0.25">
      <c r="A6" s="47" t="s">
        <v>219</v>
      </c>
      <c r="B6" s="47" t="s">
        <v>234</v>
      </c>
      <c r="C6" s="47"/>
      <c r="D6" s="51">
        <f>HOME!F9</f>
        <v>43647</v>
      </c>
      <c r="E6" s="47" t="s">
        <v>226</v>
      </c>
      <c r="F6" s="3">
        <f t="shared" ca="1" si="0"/>
        <v>0</v>
      </c>
      <c r="G6" s="401">
        <f ca="1">HOME!G9</f>
        <v>3</v>
      </c>
      <c r="H6" s="44" t="str">
        <f>HOME!D9</f>
        <v>जुलाई 2019</v>
      </c>
      <c r="I6" s="323">
        <f t="shared" ref="I6:I15" si="6">I5</f>
        <v>0</v>
      </c>
      <c r="J6" s="324">
        <f t="shared" ref="J6:J15" si="7">J5</f>
        <v>0</v>
      </c>
      <c r="K6" s="325">
        <f t="shared" ref="K6:K15" si="8">K5</f>
        <v>0</v>
      </c>
      <c r="L6" s="326">
        <f t="shared" si="2"/>
        <v>0</v>
      </c>
      <c r="M6" s="327">
        <f t="shared" ref="M6:M15" si="9">M5</f>
        <v>0</v>
      </c>
      <c r="N6" s="328">
        <f t="shared" ref="N6:N15" si="10">N5</f>
        <v>0</v>
      </c>
      <c r="O6" s="329">
        <f t="shared" ref="O6:O15" si="11">O5</f>
        <v>0</v>
      </c>
      <c r="P6" s="329">
        <f t="shared" ref="P6:P15" si="12">P5</f>
        <v>0</v>
      </c>
      <c r="Q6" s="329">
        <f t="shared" ref="Q6:Q15" si="13">Q5</f>
        <v>0</v>
      </c>
      <c r="R6" s="329">
        <f t="shared" ref="R6:R15" si="14">R5</f>
        <v>0</v>
      </c>
      <c r="S6" s="330">
        <f t="shared" ref="S6:S15" si="15">S5</f>
        <v>0</v>
      </c>
      <c r="T6" s="330">
        <f t="shared" ref="T6:T15" si="16">T5</f>
        <v>0</v>
      </c>
      <c r="U6" s="331">
        <f t="shared" ref="U6:U15" si="17">U5</f>
        <v>0</v>
      </c>
      <c r="V6" s="332">
        <f t="shared" ref="V6:V15" si="18">V5</f>
        <v>0</v>
      </c>
      <c r="W6" s="333">
        <f t="shared" ref="W6:W15" si="19">W5</f>
        <v>0</v>
      </c>
      <c r="X6" s="324">
        <f t="shared" ref="X6:X15" si="20">X5</f>
        <v>0</v>
      </c>
      <c r="Y6" s="325">
        <f t="shared" ref="Y6:Y15" si="21">Y5</f>
        <v>0</v>
      </c>
      <c r="Z6" s="325">
        <f t="shared" ref="Z6:Z15" si="22">Z5</f>
        <v>0</v>
      </c>
      <c r="AA6" s="334">
        <f t="shared" ref="AA6:AA15" si="23">AA5</f>
        <v>0</v>
      </c>
      <c r="AB6" s="329">
        <f t="shared" ref="AB6:AB15" si="24">AB5</f>
        <v>0</v>
      </c>
      <c r="AC6" s="328">
        <f t="shared" ref="AC6:AC15" si="25">AC5</f>
        <v>0</v>
      </c>
      <c r="AD6" s="326">
        <f t="shared" ref="AD6:AD15" si="26">AD5</f>
        <v>0</v>
      </c>
      <c r="AE6" s="402">
        <f ca="1">IF(G6&gt;=1,(IF(LEN(K6)&gt;=3,VLOOKUP(K6,$A$1:$B$10,2,0),0)),0)</f>
        <v>0</v>
      </c>
      <c r="AF6" s="3">
        <f t="shared" ca="1" si="3"/>
        <v>0</v>
      </c>
      <c r="AI6" s="402">
        <f t="shared" ca="1" si="4"/>
        <v>0</v>
      </c>
      <c r="AJ6" s="402">
        <f t="shared" ca="1" si="5"/>
        <v>0</v>
      </c>
    </row>
    <row r="7" spans="1:40" ht="30" customHeight="1" x14ac:dyDescent="0.25">
      <c r="A7" s="47" t="s">
        <v>220</v>
      </c>
      <c r="B7" s="47" t="s">
        <v>225</v>
      </c>
      <c r="C7" s="47"/>
      <c r="D7" s="51">
        <f>HOME!F10</f>
        <v>43678</v>
      </c>
      <c r="E7" s="47" t="s">
        <v>227</v>
      </c>
      <c r="F7" s="3">
        <f t="shared" ca="1" si="0"/>
        <v>1</v>
      </c>
      <c r="G7" s="401">
        <f ca="1">HOME!G10</f>
        <v>4</v>
      </c>
      <c r="H7" s="44" t="str">
        <f>HOME!D10</f>
        <v>अगस्त 2019</v>
      </c>
      <c r="I7" s="323">
        <f t="shared" si="6"/>
        <v>0</v>
      </c>
      <c r="J7" s="324">
        <f t="shared" si="7"/>
        <v>0</v>
      </c>
      <c r="K7" s="325">
        <f t="shared" si="8"/>
        <v>0</v>
      </c>
      <c r="L7" s="326">
        <f t="shared" si="2"/>
        <v>0</v>
      </c>
      <c r="M7" s="327">
        <f t="shared" si="9"/>
        <v>0</v>
      </c>
      <c r="N7" s="328">
        <f t="shared" si="10"/>
        <v>0</v>
      </c>
      <c r="O7" s="329">
        <f t="shared" si="11"/>
        <v>0</v>
      </c>
      <c r="P7" s="329">
        <f t="shared" si="12"/>
        <v>0</v>
      </c>
      <c r="Q7" s="329">
        <f t="shared" si="13"/>
        <v>0</v>
      </c>
      <c r="R7" s="329">
        <f t="shared" si="14"/>
        <v>0</v>
      </c>
      <c r="S7" s="330">
        <f t="shared" si="15"/>
        <v>0</v>
      </c>
      <c r="T7" s="330">
        <f t="shared" si="16"/>
        <v>0</v>
      </c>
      <c r="U7" s="331">
        <f t="shared" si="17"/>
        <v>0</v>
      </c>
      <c r="V7" s="332">
        <f t="shared" si="18"/>
        <v>0</v>
      </c>
      <c r="W7" s="333">
        <f t="shared" si="19"/>
        <v>0</v>
      </c>
      <c r="X7" s="324">
        <f t="shared" si="20"/>
        <v>0</v>
      </c>
      <c r="Y7" s="325">
        <f t="shared" si="21"/>
        <v>0</v>
      </c>
      <c r="Z7" s="325">
        <f t="shared" si="22"/>
        <v>0</v>
      </c>
      <c r="AA7" s="334">
        <f t="shared" si="23"/>
        <v>0</v>
      </c>
      <c r="AB7" s="329">
        <f t="shared" si="24"/>
        <v>0</v>
      </c>
      <c r="AC7" s="328">
        <f t="shared" si="25"/>
        <v>0</v>
      </c>
      <c r="AD7" s="326">
        <f t="shared" si="26"/>
        <v>0</v>
      </c>
      <c r="AE7" s="402">
        <f t="shared" ref="AE7:AE15" ca="1" si="27">IF(G7&gt;=1,(IF(LEN(K7)&gt;=3,VLOOKUP(K7,$A$1:$B$10,2,0),0)),0)</f>
        <v>0</v>
      </c>
      <c r="AF7" s="3">
        <f t="shared" ca="1" si="3"/>
        <v>0</v>
      </c>
      <c r="AI7" s="402">
        <f t="shared" ca="1" si="4"/>
        <v>0</v>
      </c>
      <c r="AJ7" s="402">
        <f t="shared" ca="1" si="5"/>
        <v>0</v>
      </c>
    </row>
    <row r="8" spans="1:40" ht="30" customHeight="1" x14ac:dyDescent="0.25">
      <c r="A8" s="47" t="s">
        <v>221</v>
      </c>
      <c r="B8" s="47" t="s">
        <v>226</v>
      </c>
      <c r="C8" s="47"/>
      <c r="D8" s="51">
        <f>HOME!F11</f>
        <v>43709</v>
      </c>
      <c r="E8" s="47" t="s">
        <v>228</v>
      </c>
      <c r="F8" s="3">
        <f t="shared" ca="1" si="0"/>
        <v>2</v>
      </c>
      <c r="G8" s="401">
        <f ca="1">HOME!G11</f>
        <v>5</v>
      </c>
      <c r="H8" s="44" t="str">
        <f>HOME!D11</f>
        <v>सितम्बर 2019</v>
      </c>
      <c r="I8" s="323">
        <f t="shared" si="6"/>
        <v>0</v>
      </c>
      <c r="J8" s="324">
        <f t="shared" si="7"/>
        <v>0</v>
      </c>
      <c r="K8" s="325">
        <f t="shared" si="8"/>
        <v>0</v>
      </c>
      <c r="L8" s="326">
        <f t="shared" si="2"/>
        <v>0</v>
      </c>
      <c r="M8" s="327">
        <f t="shared" si="9"/>
        <v>0</v>
      </c>
      <c r="N8" s="328">
        <f t="shared" si="10"/>
        <v>0</v>
      </c>
      <c r="O8" s="329">
        <f t="shared" si="11"/>
        <v>0</v>
      </c>
      <c r="P8" s="329">
        <f t="shared" si="12"/>
        <v>0</v>
      </c>
      <c r="Q8" s="329">
        <f t="shared" si="13"/>
        <v>0</v>
      </c>
      <c r="R8" s="329">
        <f t="shared" si="14"/>
        <v>0</v>
      </c>
      <c r="S8" s="330">
        <f t="shared" si="15"/>
        <v>0</v>
      </c>
      <c r="T8" s="330">
        <f t="shared" si="16"/>
        <v>0</v>
      </c>
      <c r="U8" s="331">
        <f t="shared" si="17"/>
        <v>0</v>
      </c>
      <c r="V8" s="332">
        <f t="shared" si="18"/>
        <v>0</v>
      </c>
      <c r="W8" s="333">
        <f t="shared" si="19"/>
        <v>0</v>
      </c>
      <c r="X8" s="324">
        <f t="shared" si="20"/>
        <v>0</v>
      </c>
      <c r="Y8" s="325">
        <f t="shared" si="21"/>
        <v>0</v>
      </c>
      <c r="Z8" s="325">
        <f t="shared" si="22"/>
        <v>0</v>
      </c>
      <c r="AA8" s="334">
        <f t="shared" si="23"/>
        <v>0</v>
      </c>
      <c r="AB8" s="329">
        <f t="shared" si="24"/>
        <v>0</v>
      </c>
      <c r="AC8" s="328">
        <f t="shared" si="25"/>
        <v>0</v>
      </c>
      <c r="AD8" s="326">
        <f t="shared" si="26"/>
        <v>0</v>
      </c>
      <c r="AE8" s="402">
        <f t="shared" ca="1" si="27"/>
        <v>0</v>
      </c>
      <c r="AF8" s="3">
        <f t="shared" ca="1" si="3"/>
        <v>0</v>
      </c>
      <c r="AI8" s="402">
        <f t="shared" ca="1" si="4"/>
        <v>0</v>
      </c>
      <c r="AJ8" s="402">
        <f t="shared" ca="1" si="5"/>
        <v>0</v>
      </c>
    </row>
    <row r="9" spans="1:40" ht="30" customHeight="1" x14ac:dyDescent="0.25">
      <c r="A9" s="47" t="s">
        <v>222</v>
      </c>
      <c r="B9" s="47" t="s">
        <v>234</v>
      </c>
      <c r="C9" s="47"/>
      <c r="D9" s="51">
        <f>HOME!F12</f>
        <v>43739</v>
      </c>
      <c r="E9" s="47" t="s">
        <v>229</v>
      </c>
      <c r="F9" s="3">
        <f t="shared" ca="1" si="0"/>
        <v>0</v>
      </c>
      <c r="G9" s="401">
        <f ca="1">HOME!G12</f>
        <v>6</v>
      </c>
      <c r="H9" s="44" t="str">
        <f>HOME!D12</f>
        <v>अक्टूम्बर 2019</v>
      </c>
      <c r="I9" s="323">
        <f t="shared" si="6"/>
        <v>0</v>
      </c>
      <c r="J9" s="324">
        <f t="shared" si="7"/>
        <v>0</v>
      </c>
      <c r="K9" s="325">
        <f t="shared" si="8"/>
        <v>0</v>
      </c>
      <c r="L9" s="326">
        <f t="shared" si="2"/>
        <v>0</v>
      </c>
      <c r="M9" s="327">
        <f t="shared" si="9"/>
        <v>0</v>
      </c>
      <c r="N9" s="328">
        <f t="shared" si="10"/>
        <v>0</v>
      </c>
      <c r="O9" s="329">
        <f t="shared" si="11"/>
        <v>0</v>
      </c>
      <c r="P9" s="329">
        <f t="shared" si="12"/>
        <v>0</v>
      </c>
      <c r="Q9" s="329">
        <f t="shared" si="13"/>
        <v>0</v>
      </c>
      <c r="R9" s="329">
        <f t="shared" si="14"/>
        <v>0</v>
      </c>
      <c r="S9" s="330">
        <f t="shared" si="15"/>
        <v>0</v>
      </c>
      <c r="T9" s="330">
        <f t="shared" si="16"/>
        <v>0</v>
      </c>
      <c r="U9" s="331">
        <f t="shared" si="17"/>
        <v>0</v>
      </c>
      <c r="V9" s="332">
        <f t="shared" si="18"/>
        <v>0</v>
      </c>
      <c r="W9" s="333">
        <f t="shared" si="19"/>
        <v>0</v>
      </c>
      <c r="X9" s="324">
        <f t="shared" si="20"/>
        <v>0</v>
      </c>
      <c r="Y9" s="325">
        <f t="shared" si="21"/>
        <v>0</v>
      </c>
      <c r="Z9" s="325">
        <f t="shared" si="22"/>
        <v>0</v>
      </c>
      <c r="AA9" s="334">
        <f t="shared" si="23"/>
        <v>0</v>
      </c>
      <c r="AB9" s="329">
        <f t="shared" si="24"/>
        <v>0</v>
      </c>
      <c r="AC9" s="328">
        <f t="shared" si="25"/>
        <v>0</v>
      </c>
      <c r="AD9" s="326">
        <f t="shared" si="26"/>
        <v>0</v>
      </c>
      <c r="AE9" s="402">
        <f t="shared" ca="1" si="27"/>
        <v>0</v>
      </c>
      <c r="AF9" s="3">
        <f t="shared" ca="1" si="3"/>
        <v>0</v>
      </c>
      <c r="AI9" s="402">
        <f t="shared" ca="1" si="4"/>
        <v>0</v>
      </c>
      <c r="AJ9" s="402">
        <f t="shared" ca="1" si="5"/>
        <v>0</v>
      </c>
    </row>
    <row r="10" spans="1:40" ht="30" customHeight="1" x14ac:dyDescent="0.25">
      <c r="A10" s="47" t="s">
        <v>223</v>
      </c>
      <c r="B10" s="47" t="s">
        <v>234</v>
      </c>
      <c r="C10" s="47"/>
      <c r="D10" s="51">
        <f>HOME!F13</f>
        <v>43770</v>
      </c>
      <c r="E10" s="47" t="s">
        <v>230</v>
      </c>
      <c r="F10" s="3">
        <f t="shared" ca="1" si="0"/>
        <v>1</v>
      </c>
      <c r="G10" s="401">
        <f ca="1">HOME!G13</f>
        <v>7</v>
      </c>
      <c r="H10" s="44" t="str">
        <f>HOME!D13</f>
        <v>नवम्बर 2019</v>
      </c>
      <c r="I10" s="323">
        <f t="shared" si="6"/>
        <v>0</v>
      </c>
      <c r="J10" s="324">
        <f t="shared" si="7"/>
        <v>0</v>
      </c>
      <c r="K10" s="325">
        <f t="shared" si="8"/>
        <v>0</v>
      </c>
      <c r="L10" s="326">
        <f t="shared" si="2"/>
        <v>0</v>
      </c>
      <c r="M10" s="327">
        <f t="shared" si="9"/>
        <v>0</v>
      </c>
      <c r="N10" s="328">
        <f t="shared" si="10"/>
        <v>0</v>
      </c>
      <c r="O10" s="329">
        <f t="shared" si="11"/>
        <v>0</v>
      </c>
      <c r="P10" s="329">
        <f t="shared" si="12"/>
        <v>0</v>
      </c>
      <c r="Q10" s="329">
        <f t="shared" si="13"/>
        <v>0</v>
      </c>
      <c r="R10" s="329">
        <f t="shared" si="14"/>
        <v>0</v>
      </c>
      <c r="S10" s="330">
        <f t="shared" si="15"/>
        <v>0</v>
      </c>
      <c r="T10" s="330">
        <f t="shared" si="16"/>
        <v>0</v>
      </c>
      <c r="U10" s="331">
        <f t="shared" si="17"/>
        <v>0</v>
      </c>
      <c r="V10" s="332">
        <f t="shared" si="18"/>
        <v>0</v>
      </c>
      <c r="W10" s="333">
        <f t="shared" si="19"/>
        <v>0</v>
      </c>
      <c r="X10" s="324">
        <f t="shared" si="20"/>
        <v>0</v>
      </c>
      <c r="Y10" s="325">
        <f t="shared" si="21"/>
        <v>0</v>
      </c>
      <c r="Z10" s="325">
        <f t="shared" si="22"/>
        <v>0</v>
      </c>
      <c r="AA10" s="334">
        <f t="shared" si="23"/>
        <v>0</v>
      </c>
      <c r="AB10" s="329">
        <f t="shared" si="24"/>
        <v>0</v>
      </c>
      <c r="AC10" s="328">
        <f t="shared" si="25"/>
        <v>0</v>
      </c>
      <c r="AD10" s="326">
        <f t="shared" si="26"/>
        <v>0</v>
      </c>
      <c r="AE10" s="402">
        <f t="shared" ca="1" si="27"/>
        <v>0</v>
      </c>
      <c r="AF10" s="3">
        <f t="shared" ca="1" si="3"/>
        <v>0</v>
      </c>
      <c r="AI10" s="402">
        <f t="shared" ca="1" si="4"/>
        <v>0</v>
      </c>
      <c r="AJ10" s="402">
        <f t="shared" ca="1" si="5"/>
        <v>0</v>
      </c>
    </row>
    <row r="11" spans="1:40" ht="30" customHeight="1" x14ac:dyDescent="0.25">
      <c r="A11" s="310"/>
      <c r="B11" s="310"/>
      <c r="C11" s="310"/>
      <c r="D11" s="51">
        <f>HOME!F14</f>
        <v>43800</v>
      </c>
      <c r="E11" s="47" t="s">
        <v>231</v>
      </c>
      <c r="F11" s="3">
        <f t="shared" ca="1" si="0"/>
        <v>2</v>
      </c>
      <c r="G11" s="401">
        <f ca="1">HOME!G14</f>
        <v>8</v>
      </c>
      <c r="H11" s="44" t="str">
        <f>HOME!D14</f>
        <v>दिसम्बर 2019</v>
      </c>
      <c r="I11" s="323">
        <f t="shared" si="6"/>
        <v>0</v>
      </c>
      <c r="J11" s="324">
        <f t="shared" si="7"/>
        <v>0</v>
      </c>
      <c r="K11" s="325">
        <f t="shared" si="8"/>
        <v>0</v>
      </c>
      <c r="L11" s="326">
        <f t="shared" si="2"/>
        <v>0</v>
      </c>
      <c r="M11" s="327">
        <f t="shared" si="9"/>
        <v>0</v>
      </c>
      <c r="N11" s="328">
        <f t="shared" si="10"/>
        <v>0</v>
      </c>
      <c r="O11" s="329">
        <f t="shared" si="11"/>
        <v>0</v>
      </c>
      <c r="P11" s="329">
        <f t="shared" si="12"/>
        <v>0</v>
      </c>
      <c r="Q11" s="329">
        <f t="shared" si="13"/>
        <v>0</v>
      </c>
      <c r="R11" s="329">
        <f t="shared" si="14"/>
        <v>0</v>
      </c>
      <c r="S11" s="330">
        <f t="shared" si="15"/>
        <v>0</v>
      </c>
      <c r="T11" s="330">
        <f t="shared" si="16"/>
        <v>0</v>
      </c>
      <c r="U11" s="331">
        <f t="shared" si="17"/>
        <v>0</v>
      </c>
      <c r="V11" s="332">
        <f t="shared" si="18"/>
        <v>0</v>
      </c>
      <c r="W11" s="333">
        <f t="shared" si="19"/>
        <v>0</v>
      </c>
      <c r="X11" s="324">
        <f t="shared" si="20"/>
        <v>0</v>
      </c>
      <c r="Y11" s="325">
        <f t="shared" si="21"/>
        <v>0</v>
      </c>
      <c r="Z11" s="325">
        <f t="shared" si="22"/>
        <v>0</v>
      </c>
      <c r="AA11" s="334">
        <f t="shared" si="23"/>
        <v>0</v>
      </c>
      <c r="AB11" s="329">
        <f t="shared" si="24"/>
        <v>0</v>
      </c>
      <c r="AC11" s="328">
        <f t="shared" si="25"/>
        <v>0</v>
      </c>
      <c r="AD11" s="326">
        <f t="shared" si="26"/>
        <v>0</v>
      </c>
      <c r="AE11" s="402">
        <f t="shared" ca="1" si="27"/>
        <v>0</v>
      </c>
      <c r="AF11" s="3">
        <f t="shared" ca="1" si="3"/>
        <v>0</v>
      </c>
      <c r="AI11" s="402">
        <f t="shared" ca="1" si="4"/>
        <v>0</v>
      </c>
      <c r="AJ11" s="402">
        <f t="shared" ca="1" si="5"/>
        <v>0</v>
      </c>
    </row>
    <row r="12" spans="1:40" ht="30" customHeight="1" x14ac:dyDescent="0.25">
      <c r="D12" s="51">
        <f>HOME!F15</f>
        <v>43831</v>
      </c>
      <c r="E12" s="47" t="s">
        <v>232</v>
      </c>
      <c r="F12" s="3">
        <f t="shared" ca="1" si="0"/>
        <v>0</v>
      </c>
      <c r="G12" s="401">
        <f ca="1">HOME!G15</f>
        <v>9</v>
      </c>
      <c r="H12" s="44" t="str">
        <f>HOME!D15</f>
        <v>जनवरी 2020</v>
      </c>
      <c r="I12" s="323">
        <f t="shared" si="6"/>
        <v>0</v>
      </c>
      <c r="J12" s="324">
        <f t="shared" si="7"/>
        <v>0</v>
      </c>
      <c r="K12" s="325">
        <f t="shared" si="8"/>
        <v>0</v>
      </c>
      <c r="L12" s="326">
        <f t="shared" si="2"/>
        <v>0</v>
      </c>
      <c r="M12" s="327">
        <f t="shared" si="9"/>
        <v>0</v>
      </c>
      <c r="N12" s="328">
        <f t="shared" si="10"/>
        <v>0</v>
      </c>
      <c r="O12" s="329">
        <f t="shared" si="11"/>
        <v>0</v>
      </c>
      <c r="P12" s="329">
        <f t="shared" si="12"/>
        <v>0</v>
      </c>
      <c r="Q12" s="329">
        <f t="shared" si="13"/>
        <v>0</v>
      </c>
      <c r="R12" s="329">
        <f t="shared" si="14"/>
        <v>0</v>
      </c>
      <c r="S12" s="330">
        <f t="shared" si="15"/>
        <v>0</v>
      </c>
      <c r="T12" s="330">
        <f t="shared" si="16"/>
        <v>0</v>
      </c>
      <c r="U12" s="331">
        <f t="shared" si="17"/>
        <v>0</v>
      </c>
      <c r="V12" s="332">
        <f t="shared" si="18"/>
        <v>0</v>
      </c>
      <c r="W12" s="333">
        <f t="shared" si="19"/>
        <v>0</v>
      </c>
      <c r="X12" s="324">
        <f t="shared" si="20"/>
        <v>0</v>
      </c>
      <c r="Y12" s="325">
        <f t="shared" si="21"/>
        <v>0</v>
      </c>
      <c r="Z12" s="325">
        <f t="shared" si="22"/>
        <v>0</v>
      </c>
      <c r="AA12" s="334">
        <f t="shared" si="23"/>
        <v>0</v>
      </c>
      <c r="AB12" s="329">
        <f t="shared" si="24"/>
        <v>0</v>
      </c>
      <c r="AC12" s="328">
        <f t="shared" si="25"/>
        <v>0</v>
      </c>
      <c r="AD12" s="326">
        <f t="shared" si="26"/>
        <v>0</v>
      </c>
      <c r="AE12" s="402">
        <f t="shared" ca="1" si="27"/>
        <v>0</v>
      </c>
      <c r="AF12" s="3">
        <f t="shared" ca="1" si="3"/>
        <v>0</v>
      </c>
      <c r="AI12" s="402">
        <f t="shared" ca="1" si="4"/>
        <v>0</v>
      </c>
      <c r="AJ12" s="402">
        <f t="shared" ca="1" si="5"/>
        <v>0</v>
      </c>
    </row>
    <row r="13" spans="1:40" ht="30" customHeight="1" x14ac:dyDescent="0.25">
      <c r="D13" s="51">
        <f>HOME!F16</f>
        <v>43862</v>
      </c>
      <c r="E13" s="47" t="s">
        <v>233</v>
      </c>
      <c r="F13" s="3">
        <f t="shared" ca="1" si="0"/>
        <v>0</v>
      </c>
      <c r="G13" s="401">
        <f ca="1">HOME!G16</f>
        <v>0</v>
      </c>
      <c r="H13" s="44" t="str">
        <f>HOME!D16</f>
        <v>फरवरी 2020</v>
      </c>
      <c r="I13" s="323">
        <f t="shared" si="6"/>
        <v>0</v>
      </c>
      <c r="J13" s="324">
        <f t="shared" si="7"/>
        <v>0</v>
      </c>
      <c r="K13" s="325">
        <f t="shared" si="8"/>
        <v>0</v>
      </c>
      <c r="L13" s="326">
        <f t="shared" si="2"/>
        <v>0</v>
      </c>
      <c r="M13" s="327">
        <f t="shared" si="9"/>
        <v>0</v>
      </c>
      <c r="N13" s="328">
        <f t="shared" si="10"/>
        <v>0</v>
      </c>
      <c r="O13" s="329">
        <f t="shared" si="11"/>
        <v>0</v>
      </c>
      <c r="P13" s="329">
        <f t="shared" si="12"/>
        <v>0</v>
      </c>
      <c r="Q13" s="329">
        <f t="shared" si="13"/>
        <v>0</v>
      </c>
      <c r="R13" s="329">
        <f t="shared" si="14"/>
        <v>0</v>
      </c>
      <c r="S13" s="330">
        <f t="shared" si="15"/>
        <v>0</v>
      </c>
      <c r="T13" s="330">
        <f t="shared" si="16"/>
        <v>0</v>
      </c>
      <c r="U13" s="331">
        <f t="shared" si="17"/>
        <v>0</v>
      </c>
      <c r="V13" s="332">
        <f t="shared" si="18"/>
        <v>0</v>
      </c>
      <c r="W13" s="333">
        <f t="shared" si="19"/>
        <v>0</v>
      </c>
      <c r="X13" s="324">
        <f t="shared" si="20"/>
        <v>0</v>
      </c>
      <c r="Y13" s="325">
        <f t="shared" si="21"/>
        <v>0</v>
      </c>
      <c r="Z13" s="325">
        <f t="shared" si="22"/>
        <v>0</v>
      </c>
      <c r="AA13" s="334">
        <f t="shared" si="23"/>
        <v>0</v>
      </c>
      <c r="AB13" s="329">
        <f t="shared" si="24"/>
        <v>0</v>
      </c>
      <c r="AC13" s="328">
        <f t="shared" si="25"/>
        <v>0</v>
      </c>
      <c r="AD13" s="326">
        <f t="shared" si="26"/>
        <v>0</v>
      </c>
      <c r="AE13" s="402">
        <f t="shared" ca="1" si="27"/>
        <v>0</v>
      </c>
      <c r="AF13" s="3">
        <f t="shared" ca="1" si="3"/>
        <v>0</v>
      </c>
      <c r="AI13" s="402">
        <f t="shared" ca="1" si="4"/>
        <v>0</v>
      </c>
      <c r="AJ13" s="402">
        <f t="shared" ca="1" si="5"/>
        <v>0</v>
      </c>
    </row>
    <row r="14" spans="1:40" ht="30" customHeight="1" x14ac:dyDescent="0.25">
      <c r="D14" s="51">
        <f>HOME!F17</f>
        <v>43891</v>
      </c>
      <c r="E14" s="47" t="s">
        <v>237</v>
      </c>
      <c r="F14" s="3">
        <f t="shared" ca="1" si="0"/>
        <v>0</v>
      </c>
      <c r="G14" s="401">
        <f ca="1">HOME!G17</f>
        <v>0</v>
      </c>
      <c r="H14" s="44" t="str">
        <f>HOME!D17</f>
        <v>मार्च 2020</v>
      </c>
      <c r="I14" s="323">
        <f t="shared" si="6"/>
        <v>0</v>
      </c>
      <c r="J14" s="324">
        <f t="shared" si="7"/>
        <v>0</v>
      </c>
      <c r="K14" s="325">
        <f t="shared" si="8"/>
        <v>0</v>
      </c>
      <c r="L14" s="326">
        <f t="shared" si="2"/>
        <v>0</v>
      </c>
      <c r="M14" s="327">
        <f t="shared" si="9"/>
        <v>0</v>
      </c>
      <c r="N14" s="328">
        <f t="shared" si="10"/>
        <v>0</v>
      </c>
      <c r="O14" s="329">
        <f t="shared" si="11"/>
        <v>0</v>
      </c>
      <c r="P14" s="329">
        <f t="shared" si="12"/>
        <v>0</v>
      </c>
      <c r="Q14" s="329">
        <f t="shared" si="13"/>
        <v>0</v>
      </c>
      <c r="R14" s="329">
        <f t="shared" si="14"/>
        <v>0</v>
      </c>
      <c r="S14" s="330">
        <f t="shared" si="15"/>
        <v>0</v>
      </c>
      <c r="T14" s="330">
        <f t="shared" si="16"/>
        <v>0</v>
      </c>
      <c r="U14" s="331">
        <f t="shared" si="17"/>
        <v>0</v>
      </c>
      <c r="V14" s="332">
        <f t="shared" si="18"/>
        <v>0</v>
      </c>
      <c r="W14" s="333">
        <f t="shared" si="19"/>
        <v>0</v>
      </c>
      <c r="X14" s="324">
        <f t="shared" si="20"/>
        <v>0</v>
      </c>
      <c r="Y14" s="325">
        <f t="shared" si="21"/>
        <v>0</v>
      </c>
      <c r="Z14" s="325">
        <f t="shared" si="22"/>
        <v>0</v>
      </c>
      <c r="AA14" s="334">
        <f t="shared" si="23"/>
        <v>0</v>
      </c>
      <c r="AB14" s="329">
        <f t="shared" si="24"/>
        <v>0</v>
      </c>
      <c r="AC14" s="328">
        <f t="shared" si="25"/>
        <v>0</v>
      </c>
      <c r="AD14" s="326">
        <f t="shared" si="26"/>
        <v>0</v>
      </c>
      <c r="AE14" s="402">
        <f t="shared" ca="1" si="27"/>
        <v>0</v>
      </c>
      <c r="AF14" s="3">
        <f t="shared" ca="1" si="3"/>
        <v>0</v>
      </c>
      <c r="AI14" s="402">
        <f t="shared" ca="1" si="4"/>
        <v>0</v>
      </c>
      <c r="AJ14" s="402">
        <f t="shared" ca="1" si="5"/>
        <v>0</v>
      </c>
    </row>
    <row r="15" spans="1:40" ht="30" customHeight="1" x14ac:dyDescent="0.25">
      <c r="D15" s="51">
        <f>HOME!F18</f>
        <v>43922</v>
      </c>
      <c r="E15" s="47" t="s">
        <v>238</v>
      </c>
      <c r="F15" s="3">
        <f t="shared" ca="1" si="0"/>
        <v>0</v>
      </c>
      <c r="G15" s="401">
        <f ca="1">HOME!G18</f>
        <v>0</v>
      </c>
      <c r="H15" s="44" t="str">
        <f>HOME!D18</f>
        <v>अप्रैल 2020</v>
      </c>
      <c r="I15" s="323">
        <f t="shared" si="6"/>
        <v>0</v>
      </c>
      <c r="J15" s="324">
        <f t="shared" si="7"/>
        <v>0</v>
      </c>
      <c r="K15" s="325">
        <f t="shared" si="8"/>
        <v>0</v>
      </c>
      <c r="L15" s="326">
        <f t="shared" si="2"/>
        <v>0</v>
      </c>
      <c r="M15" s="327">
        <f t="shared" si="9"/>
        <v>0</v>
      </c>
      <c r="N15" s="328">
        <f t="shared" si="10"/>
        <v>0</v>
      </c>
      <c r="O15" s="329">
        <f t="shared" si="11"/>
        <v>0</v>
      </c>
      <c r="P15" s="329">
        <f t="shared" si="12"/>
        <v>0</v>
      </c>
      <c r="Q15" s="329">
        <f t="shared" si="13"/>
        <v>0</v>
      </c>
      <c r="R15" s="329">
        <f t="shared" si="14"/>
        <v>0</v>
      </c>
      <c r="S15" s="330">
        <f t="shared" si="15"/>
        <v>0</v>
      </c>
      <c r="T15" s="330">
        <f t="shared" si="16"/>
        <v>0</v>
      </c>
      <c r="U15" s="331">
        <f t="shared" si="17"/>
        <v>0</v>
      </c>
      <c r="V15" s="332">
        <f t="shared" si="18"/>
        <v>0</v>
      </c>
      <c r="W15" s="333">
        <f t="shared" si="19"/>
        <v>0</v>
      </c>
      <c r="X15" s="324">
        <f t="shared" si="20"/>
        <v>0</v>
      </c>
      <c r="Y15" s="325">
        <f t="shared" si="21"/>
        <v>0</v>
      </c>
      <c r="Z15" s="325">
        <f t="shared" si="22"/>
        <v>0</v>
      </c>
      <c r="AA15" s="334">
        <f t="shared" si="23"/>
        <v>0</v>
      </c>
      <c r="AB15" s="329">
        <f t="shared" si="24"/>
        <v>0</v>
      </c>
      <c r="AC15" s="328">
        <f t="shared" si="25"/>
        <v>0</v>
      </c>
      <c r="AD15" s="326">
        <f t="shared" si="26"/>
        <v>0</v>
      </c>
      <c r="AE15" s="402">
        <f t="shared" ca="1" si="27"/>
        <v>0</v>
      </c>
      <c r="AF15" s="3">
        <f t="shared" ca="1" si="3"/>
        <v>0</v>
      </c>
      <c r="AI15" s="402">
        <f t="shared" ca="1" si="4"/>
        <v>0</v>
      </c>
      <c r="AJ15" s="402">
        <f t="shared" ca="1" si="5"/>
        <v>0</v>
      </c>
    </row>
    <row r="16" spans="1:40" ht="20.100000000000001" customHeight="1" x14ac:dyDescent="0.25"/>
    <row r="17" ht="20.100000000000001" customHeight="1" x14ac:dyDescent="0.25"/>
    <row r="18" ht="20.100000000000001" customHeight="1" x14ac:dyDescent="0.25"/>
    <row r="19" ht="20.100000000000001" customHeight="1" x14ac:dyDescent="0.25"/>
    <row r="20" ht="20.100000000000001" customHeight="1" x14ac:dyDescent="0.25"/>
    <row r="21" ht="20.100000000000001" customHeight="1" x14ac:dyDescent="0.25"/>
    <row r="22" ht="20.100000000000001" customHeight="1" x14ac:dyDescent="0.25"/>
    <row r="23" ht="20.100000000000001" customHeight="1" x14ac:dyDescent="0.25"/>
    <row r="24" ht="20.100000000000001" customHeight="1" x14ac:dyDescent="0.25"/>
    <row r="25" ht="20.100000000000001" customHeight="1" x14ac:dyDescent="0.25"/>
    <row r="26" ht="20.100000000000001" customHeight="1" x14ac:dyDescent="0.25"/>
    <row r="27" ht="20.100000000000001" customHeight="1" x14ac:dyDescent="0.25"/>
    <row r="28" ht="20.100000000000001" customHeight="1" x14ac:dyDescent="0.25"/>
    <row r="29" ht="20.100000000000001" customHeight="1" x14ac:dyDescent="0.25"/>
    <row r="30" ht="20.100000000000001" customHeight="1" x14ac:dyDescent="0.25"/>
    <row r="31" ht="20.100000000000001" customHeight="1" x14ac:dyDescent="0.25"/>
    <row r="32" ht="20.100000000000001" customHeight="1" x14ac:dyDescent="0.25"/>
  </sheetData>
  <sheetProtection password="F11C" sheet="1" objects="1" scenarios="1"/>
  <sortState ref="G4:I13">
    <sortCondition ref="G4:G13"/>
  </sortState>
  <mergeCells count="21">
    <mergeCell ref="N2:N3"/>
    <mergeCell ref="I2:I3"/>
    <mergeCell ref="J2:J3"/>
    <mergeCell ref="K2:K3"/>
    <mergeCell ref="L2:L3"/>
    <mergeCell ref="G1:M1"/>
    <mergeCell ref="W1:Y1"/>
    <mergeCell ref="Z1:AD1"/>
    <mergeCell ref="O1:P1"/>
    <mergeCell ref="S2:U2"/>
    <mergeCell ref="O2:R2"/>
    <mergeCell ref="AD2:AD3"/>
    <mergeCell ref="V2:W2"/>
    <mergeCell ref="X2:X3"/>
    <mergeCell ref="Y2:Z2"/>
    <mergeCell ref="AA2:AA3"/>
    <mergeCell ref="AB2:AB3"/>
    <mergeCell ref="AC2:AC3"/>
    <mergeCell ref="G2:G3"/>
    <mergeCell ref="H2:H3"/>
    <mergeCell ref="M2:M3"/>
  </mergeCells>
  <conditionalFormatting sqref="G4:H15">
    <cfRule type="expression" dxfId="215" priority="26">
      <formula>$F4=2</formula>
    </cfRule>
    <cfRule type="expression" dxfId="214" priority="27">
      <formula>$F4=1</formula>
    </cfRule>
  </conditionalFormatting>
  <conditionalFormatting sqref="I4:AD15">
    <cfRule type="expression" dxfId="213" priority="23">
      <formula>$F4=0</formula>
    </cfRule>
    <cfRule type="expression" dxfId="212" priority="24">
      <formula>$F4=2</formula>
    </cfRule>
    <cfRule type="expression" dxfId="211" priority="25">
      <formula>$F4=1</formula>
    </cfRule>
  </conditionalFormatting>
  <conditionalFormatting sqref="I5:AD5">
    <cfRule type="cellIs" dxfId="210" priority="22" operator="equal">
      <formula>0</formula>
    </cfRule>
  </conditionalFormatting>
  <conditionalFormatting sqref="I6:AD6">
    <cfRule type="cellIs" dxfId="209" priority="21" operator="equal">
      <formula>0</formula>
    </cfRule>
  </conditionalFormatting>
  <conditionalFormatting sqref="I7:AD7">
    <cfRule type="cellIs" dxfId="208" priority="20" operator="equal">
      <formula>0</formula>
    </cfRule>
  </conditionalFormatting>
  <conditionalFormatting sqref="I8:AD8">
    <cfRule type="cellIs" dxfId="207" priority="19" operator="equal">
      <formula>0</formula>
    </cfRule>
  </conditionalFormatting>
  <conditionalFormatting sqref="I9:AD9">
    <cfRule type="cellIs" dxfId="206" priority="18" operator="equal">
      <formula>0</formula>
    </cfRule>
  </conditionalFormatting>
  <conditionalFormatting sqref="I10:AD10">
    <cfRule type="cellIs" dxfId="205" priority="17" operator="equal">
      <formula>0</formula>
    </cfRule>
  </conditionalFormatting>
  <conditionalFormatting sqref="I11:AD11">
    <cfRule type="cellIs" dxfId="204" priority="16" operator="equal">
      <formula>0</formula>
    </cfRule>
  </conditionalFormatting>
  <conditionalFormatting sqref="I12:AD12">
    <cfRule type="cellIs" dxfId="203" priority="15" operator="equal">
      <formula>0</formula>
    </cfRule>
  </conditionalFormatting>
  <conditionalFormatting sqref="I13:AD13">
    <cfRule type="cellIs" dxfId="202" priority="14" operator="equal">
      <formula>0</formula>
    </cfRule>
  </conditionalFormatting>
  <conditionalFormatting sqref="I14:AD14">
    <cfRule type="cellIs" dxfId="201" priority="13" operator="equal">
      <formula>0</formula>
    </cfRule>
  </conditionalFormatting>
  <conditionalFormatting sqref="I15:AD15">
    <cfRule type="cellIs" dxfId="200" priority="12" operator="equal">
      <formula>0</formula>
    </cfRule>
  </conditionalFormatting>
  <conditionalFormatting sqref="G4:AD15">
    <cfRule type="expression" dxfId="199" priority="11">
      <formula>$D$1&lt;=$D4</formula>
    </cfRule>
  </conditionalFormatting>
  <conditionalFormatting sqref="L8">
    <cfRule type="cellIs" dxfId="198" priority="10" operator="equal">
      <formula>0</formula>
    </cfRule>
  </conditionalFormatting>
  <conditionalFormatting sqref="L9">
    <cfRule type="cellIs" dxfId="197" priority="9" operator="equal">
      <formula>0</formula>
    </cfRule>
  </conditionalFormatting>
  <conditionalFormatting sqref="L10">
    <cfRule type="cellIs" dxfId="196" priority="8" operator="equal">
      <formula>0</formula>
    </cfRule>
  </conditionalFormatting>
  <conditionalFormatting sqref="L11">
    <cfRule type="cellIs" dxfId="195" priority="7" operator="equal">
      <formula>0</formula>
    </cfRule>
  </conditionalFormatting>
  <conditionalFormatting sqref="L12">
    <cfRule type="cellIs" dxfId="194" priority="6" operator="equal">
      <formula>0</formula>
    </cfRule>
  </conditionalFormatting>
  <conditionalFormatting sqref="L13">
    <cfRule type="cellIs" dxfId="193" priority="5" operator="equal">
      <formula>0</formula>
    </cfRule>
  </conditionalFormatting>
  <conditionalFormatting sqref="L14">
    <cfRule type="cellIs" dxfId="192" priority="4" operator="equal">
      <formula>0</formula>
    </cfRule>
  </conditionalFormatting>
  <conditionalFormatting sqref="L15">
    <cfRule type="cellIs" dxfId="191" priority="3" operator="equal">
      <formula>0</formula>
    </cfRule>
  </conditionalFormatting>
  <conditionalFormatting sqref="L14">
    <cfRule type="cellIs" dxfId="190" priority="2" operator="equal">
      <formula>0</formula>
    </cfRule>
  </conditionalFormatting>
  <conditionalFormatting sqref="L15">
    <cfRule type="cellIs" dxfId="189" priority="1" operator="equal">
      <formula>0</formula>
    </cfRule>
  </conditionalFormatting>
  <dataValidations count="5">
    <dataValidation type="list" allowBlank="1" showInputMessage="1" showErrorMessage="1" sqref="K4:K15" xr:uid="{00000000-0002-0000-0200-000000000000}">
      <formula1>$A$1:$A$10</formula1>
    </dataValidation>
    <dataValidation type="list" allowBlank="1" showInputMessage="1" showErrorMessage="1" sqref="V4:V15" xr:uid="{00000000-0002-0000-0200-000001000000}">
      <formula1>$AG$2:$AG$5</formula1>
    </dataValidation>
    <dataValidation type="list" allowBlank="1" showInputMessage="1" showErrorMessage="1" sqref="W4:W15" xr:uid="{00000000-0002-0000-0200-000002000000}">
      <formula1>$AI$2:$AI$3</formula1>
    </dataValidation>
    <dataValidation type="list" allowBlank="1" showInputMessage="1" showErrorMessage="1" sqref="X4:X15" xr:uid="{00000000-0002-0000-0200-000003000000}">
      <formula1>$AK$2:$AK$4</formula1>
    </dataValidation>
    <dataValidation type="list" allowBlank="1" showInputMessage="1" showErrorMessage="1" sqref="Y4:AD15 L4:L15" xr:uid="{00000000-0002-0000-0200-000004000000}">
      <formula1>$AM$2:$AM$3</formula1>
    </dataValidation>
  </dataValidations>
  <pageMargins left="0" right="0" top="0" bottom="0" header="0" footer="0"/>
  <pageSetup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6600"/>
  </sheetPr>
  <dimension ref="A1:W32"/>
  <sheetViews>
    <sheetView view="pageBreakPreview" topLeftCell="E1" zoomScaleNormal="100" zoomScaleSheetLayoutView="100" workbookViewId="0">
      <pane xSplit="1" ySplit="15" topLeftCell="F16" activePane="bottomRight" state="frozen"/>
      <selection activeCell="E1" sqref="E1"/>
      <selection pane="topRight" activeCell="F1" sqref="F1"/>
      <selection pane="bottomLeft" activeCell="E16" sqref="E16"/>
      <selection pane="bottomRight" activeCell="N20" sqref="N20"/>
    </sheetView>
  </sheetViews>
  <sheetFormatPr defaultRowHeight="15" x14ac:dyDescent="0.25"/>
  <cols>
    <col min="1" max="4" width="0" style="3" hidden="1" customWidth="1"/>
    <col min="5" max="5" width="5.7109375" style="3" customWidth="1"/>
    <col min="6" max="11" width="8.7109375" style="3" customWidth="1"/>
    <col min="12" max="13" width="10.7109375" style="3" customWidth="1"/>
    <col min="14" max="14" width="17.42578125" style="3" customWidth="1"/>
    <col min="15" max="18" width="8.7109375" style="3" customWidth="1"/>
    <col min="19" max="19" width="13.85546875" style="3" hidden="1" customWidth="1"/>
    <col min="20" max="24" width="0" style="3" hidden="1" customWidth="1"/>
    <col min="25" max="16384" width="9.140625" style="3"/>
  </cols>
  <sheetData>
    <row r="1" spans="1:23" ht="9.9499999999999993" customHeight="1" x14ac:dyDescent="0.25">
      <c r="E1" s="16"/>
      <c r="F1" s="16"/>
      <c r="G1" s="648">
        <f ca="1">IF(S17&gt;=U13,3,IF(S17&gt;=U12,2,IF(S17&gt;=0,1,0)))</f>
        <v>3</v>
      </c>
      <c r="H1" s="403"/>
      <c r="I1" s="14"/>
      <c r="J1" s="649" t="s">
        <v>373</v>
      </c>
      <c r="K1" s="649"/>
      <c r="L1" s="649"/>
      <c r="M1" s="649"/>
      <c r="N1" s="649"/>
      <c r="O1" s="14"/>
      <c r="P1" s="403"/>
      <c r="Q1" s="648">
        <f ca="1">IF(T17&gt;=W13,3,IF(T17&gt;=W12,2,IF(T17&gt;=0,1,0)))</f>
        <v>3</v>
      </c>
      <c r="R1" s="16"/>
    </row>
    <row r="2" spans="1:23" ht="9.9499999999999993" customHeight="1" x14ac:dyDescent="0.25">
      <c r="E2" s="16"/>
      <c r="F2" s="16"/>
      <c r="G2" s="648"/>
      <c r="H2" s="403"/>
      <c r="I2" s="647" t="s">
        <v>197</v>
      </c>
      <c r="J2" s="649"/>
      <c r="K2" s="649"/>
      <c r="L2" s="649"/>
      <c r="M2" s="649"/>
      <c r="N2" s="649"/>
      <c r="O2" s="647" t="s">
        <v>89</v>
      </c>
      <c r="P2" s="403"/>
      <c r="Q2" s="648"/>
      <c r="R2" s="16"/>
      <c r="S2" s="52">
        <f ca="1">TODAY()</f>
        <v>43856</v>
      </c>
    </row>
    <row r="3" spans="1:23" ht="5.0999999999999996" customHeight="1" x14ac:dyDescent="0.25">
      <c r="E3" s="16"/>
      <c r="F3" s="16"/>
      <c r="G3" s="648"/>
      <c r="H3" s="404"/>
      <c r="I3" s="647"/>
      <c r="J3" s="649"/>
      <c r="K3" s="649"/>
      <c r="L3" s="649"/>
      <c r="M3" s="649"/>
      <c r="N3" s="649"/>
      <c r="O3" s="647"/>
      <c r="P3" s="404"/>
      <c r="Q3" s="648"/>
      <c r="R3" s="16"/>
      <c r="S3" s="3">
        <f ca="1">MONTH(S2)</f>
        <v>1</v>
      </c>
    </row>
    <row r="4" spans="1:23" ht="9.9499999999999993" customHeight="1" x14ac:dyDescent="0.25">
      <c r="E4" s="16"/>
      <c r="F4" s="16"/>
      <c r="G4" s="648"/>
      <c r="H4" s="403"/>
      <c r="I4" s="647"/>
      <c r="J4" s="649"/>
      <c r="K4" s="649"/>
      <c r="L4" s="649"/>
      <c r="M4" s="649"/>
      <c r="N4" s="649"/>
      <c r="O4" s="647"/>
      <c r="P4" s="403"/>
      <c r="Q4" s="648"/>
      <c r="R4" s="16"/>
      <c r="S4" s="3">
        <f ca="1">YEAR(S2)</f>
        <v>2020</v>
      </c>
    </row>
    <row r="5" spans="1:23" ht="9.9499999999999993" customHeight="1" x14ac:dyDescent="0.25">
      <c r="E5" s="16"/>
      <c r="F5" s="16"/>
      <c r="G5" s="648"/>
      <c r="H5" s="403"/>
      <c r="I5" s="14"/>
      <c r="J5" s="649"/>
      <c r="K5" s="649"/>
      <c r="L5" s="649"/>
      <c r="M5" s="649"/>
      <c r="N5" s="649"/>
      <c r="O5" s="14"/>
      <c r="P5" s="403"/>
      <c r="Q5" s="648"/>
      <c r="R5" s="16"/>
      <c r="S5" s="3" t="str">
        <f ca="1">IFERROR(IF(S3&gt;=1,INDEX(HOME!$A$1:$B$12,MATCH(S3,HOME!$B$1:$B$12,0),1),""),"")</f>
        <v>जनवरी</v>
      </c>
    </row>
    <row r="6" spans="1:23" x14ac:dyDescent="0.25">
      <c r="E6" s="16"/>
      <c r="F6" s="16"/>
      <c r="G6" s="16"/>
      <c r="H6" s="16"/>
      <c r="I6" s="16"/>
      <c r="J6" s="16"/>
      <c r="K6" s="16"/>
      <c r="L6" s="16"/>
      <c r="M6" s="16"/>
      <c r="N6" s="16"/>
      <c r="O6" s="16"/>
      <c r="P6" s="16"/>
      <c r="Q6" s="16"/>
      <c r="R6" s="16"/>
      <c r="S6" s="3" t="s">
        <v>416</v>
      </c>
    </row>
    <row r="7" spans="1:23" ht="30" customHeight="1" x14ac:dyDescent="0.25">
      <c r="E7" s="650" t="s">
        <v>374</v>
      </c>
      <c r="F7" s="650"/>
      <c r="G7" s="650"/>
      <c r="H7" s="650"/>
      <c r="I7" s="650"/>
      <c r="J7" s="650"/>
      <c r="K7" s="650"/>
      <c r="L7" s="650"/>
      <c r="M7" s="650"/>
      <c r="N7" s="650"/>
      <c r="O7" s="650"/>
      <c r="P7" s="650"/>
      <c r="Q7" s="650"/>
      <c r="R7" s="650"/>
      <c r="S7" s="3" t="str">
        <f ca="1">IF(S3&gt;=1,(IF(S4&gt;=1000,CONCATENATE(S5,S6,S4),"")),"")</f>
        <v>जनवरी 2020</v>
      </c>
      <c r="T7" s="3">
        <f ca="1">LEN(S7)</f>
        <v>10</v>
      </c>
    </row>
    <row r="8" spans="1:23" ht="5.0999999999999996" customHeight="1" x14ac:dyDescent="0.25">
      <c r="A8" s="3" t="s">
        <v>363</v>
      </c>
      <c r="B8" s="3" t="s">
        <v>365</v>
      </c>
      <c r="E8" s="16"/>
      <c r="F8" s="16"/>
      <c r="G8" s="405"/>
      <c r="H8" s="16"/>
      <c r="I8" s="16"/>
      <c r="J8" s="16"/>
      <c r="K8" s="16"/>
      <c r="L8" s="405"/>
      <c r="M8" s="16"/>
      <c r="N8" s="16"/>
      <c r="O8" s="16"/>
      <c r="P8" s="405"/>
      <c r="Q8" s="16"/>
      <c r="R8" s="16"/>
      <c r="S8" s="3">
        <f ca="1">IFERROR(IF($T$7&gt;=5,VLOOKUP($S$7,STUDENT!$T$9:$X$20,4),0),0)</f>
        <v>0</v>
      </c>
      <c r="T8" s="3">
        <f ca="1">IFERROR(IF($T$7&gt;=5,VLOOKUP($S$7,HOME!$D$7:$AA$18,7),0),0)</f>
        <v>100</v>
      </c>
      <c r="U8" s="3">
        <f ca="1">IFERROR(IF($T$7&gt;=5,VLOOKUP($S$7,HOME!$D$7:$AA$18,9),0),0)</f>
        <v>4.4800000000000004</v>
      </c>
      <c r="V8" s="3">
        <f ca="1">IFERROR(IF($T$7&gt;=5,VLOOKUP($S$7,HOME!$D$7:$AA$18,21),0),0)</f>
        <v>200</v>
      </c>
      <c r="W8" s="3">
        <f ca="1">IFERROR(IF($T$7&gt;=5,VLOOKUP($S$7,HOME!$D$7:$AA$18,23),0),0)</f>
        <v>37</v>
      </c>
    </row>
    <row r="9" spans="1:23" ht="24.75" customHeight="1" x14ac:dyDescent="0.3">
      <c r="A9" s="3" t="s">
        <v>364</v>
      </c>
      <c r="B9" s="3" t="s">
        <v>366</v>
      </c>
      <c r="E9" s="16"/>
      <c r="F9" s="651" t="s">
        <v>375</v>
      </c>
      <c r="G9" s="651"/>
      <c r="H9" s="651"/>
      <c r="I9" s="406"/>
      <c r="J9" s="406"/>
      <c r="K9" s="653" t="s">
        <v>127</v>
      </c>
      <c r="L9" s="653"/>
      <c r="M9" s="653"/>
      <c r="N9" s="407"/>
      <c r="O9" s="652" t="s">
        <v>376</v>
      </c>
      <c r="P9" s="652"/>
      <c r="Q9" s="652"/>
      <c r="R9" s="16"/>
      <c r="S9" s="3">
        <f ca="1">IFERROR(IF($T$7&gt;=5,VLOOKUP($S$7,STUDENT!$T$9:$X$20,5),0),0)</f>
        <v>0</v>
      </c>
      <c r="T9" s="3">
        <f ca="1">IFERROR(IF($T$7&gt;=5,VLOOKUP($S$7,HOME!$D$7:$AA$18,8),0),0)</f>
        <v>150</v>
      </c>
      <c r="U9" s="3">
        <f ca="1">IFERROR(IF($T$7&gt;=5,VLOOKUP($S$7,HOME!$D$7:$AA$18,10),0),0)</f>
        <v>6.71</v>
      </c>
      <c r="V9" s="3">
        <f ca="1">IFERROR(IF($T$7&gt;=5,VLOOKUP($S$7,HOME!$D$7:$AA$18,22),0),0)</f>
        <v>250</v>
      </c>
      <c r="W9" s="3">
        <f ca="1">IFERROR(IF($T$7&gt;=5,VLOOKUP($S$7,HOME!$D$7:$AA$18,24),0),0)</f>
        <v>1320</v>
      </c>
    </row>
    <row r="10" spans="1:23" x14ac:dyDescent="0.25">
      <c r="B10" s="3" t="s">
        <v>367</v>
      </c>
      <c r="E10" s="16"/>
      <c r="F10" s="16"/>
      <c r="G10" s="645">
        <f ca="1">IF(U15&gt;=S13,3,IF(U15&gt;=1,2,IF(U15&lt;1,1,0)))</f>
        <v>3</v>
      </c>
      <c r="H10" s="16"/>
      <c r="I10" s="16"/>
      <c r="J10" s="16"/>
      <c r="K10" s="16"/>
      <c r="L10" s="645">
        <f ca="1">IF(V15&gt;=T10,3,IF(V15&gt;=1,2,IF(V15&lt;1,1,0)))</f>
        <v>3</v>
      </c>
      <c r="M10" s="16"/>
      <c r="N10" s="16"/>
      <c r="O10" s="16"/>
      <c r="P10" s="645">
        <f ca="1">IF(W15&gt;=V12,3,IF(W15&gt;=1,2,IF(W15&lt;1,1,0)))</f>
        <v>3</v>
      </c>
      <c r="Q10" s="16"/>
      <c r="R10" s="16"/>
      <c r="S10" s="3">
        <f ca="1">IFERROR(IF($T$7&gt;=5,VLOOKUP($S$7,STUDENT!$T$9:$AK$20,18),0),0)</f>
        <v>0</v>
      </c>
      <c r="T10" s="408">
        <f ca="1">S10*W9</f>
        <v>0</v>
      </c>
      <c r="U10" s="3">
        <f ca="1">S8*T8*15/1000</f>
        <v>0</v>
      </c>
      <c r="V10" s="3">
        <f ca="1">(S8*20*V8/1000)*W8</f>
        <v>0</v>
      </c>
      <c r="W10" s="3">
        <f ca="1">S8*T8*8/1000</f>
        <v>0</v>
      </c>
    </row>
    <row r="11" spans="1:23" x14ac:dyDescent="0.25">
      <c r="B11" s="3" t="s">
        <v>368</v>
      </c>
      <c r="E11" s="16"/>
      <c r="F11" s="16"/>
      <c r="G11" s="645"/>
      <c r="H11" s="16"/>
      <c r="I11" s="16"/>
      <c r="J11" s="16"/>
      <c r="K11" s="16"/>
      <c r="L11" s="645"/>
      <c r="M11" s="16"/>
      <c r="N11" s="16"/>
      <c r="O11" s="16"/>
      <c r="P11" s="645"/>
      <c r="Q11" s="16"/>
      <c r="R11" s="16"/>
      <c r="S11" s="3">
        <f ca="1">S8*20*U8</f>
        <v>0</v>
      </c>
      <c r="T11" s="408"/>
      <c r="U11" s="3">
        <f ca="1">S9*T9*15/1000</f>
        <v>0</v>
      </c>
      <c r="V11" s="3">
        <f ca="1">(S9*20*V9/1000)*W8</f>
        <v>0</v>
      </c>
      <c r="W11" s="3">
        <f ca="1">S9*T9*8/1000</f>
        <v>0</v>
      </c>
    </row>
    <row r="12" spans="1:23" x14ac:dyDescent="0.25">
      <c r="B12" s="3" t="s">
        <v>369</v>
      </c>
      <c r="E12" s="16"/>
      <c r="F12" s="16"/>
      <c r="G12" s="16"/>
      <c r="H12" s="16"/>
      <c r="I12" s="16"/>
      <c r="J12" s="16"/>
      <c r="K12" s="16"/>
      <c r="L12" s="16"/>
      <c r="M12" s="16"/>
      <c r="N12" s="16"/>
      <c r="O12" s="16"/>
      <c r="P12" s="16"/>
      <c r="Q12" s="16"/>
      <c r="R12" s="16"/>
      <c r="S12" s="3">
        <f ca="1">S9*20*U9</f>
        <v>0</v>
      </c>
      <c r="U12" s="408">
        <f ca="1">U10+U11</f>
        <v>0</v>
      </c>
      <c r="V12" s="408">
        <f ca="1">V10+V11</f>
        <v>0</v>
      </c>
      <c r="W12" s="408">
        <f ca="1">W10+W11</f>
        <v>0</v>
      </c>
    </row>
    <row r="13" spans="1:23" ht="30" customHeight="1" x14ac:dyDescent="0.25">
      <c r="B13" s="3" t="s">
        <v>370</v>
      </c>
      <c r="E13" s="646" t="s">
        <v>371</v>
      </c>
      <c r="F13" s="646"/>
      <c r="G13" s="646"/>
      <c r="H13" s="646"/>
      <c r="I13" s="646"/>
      <c r="J13" s="646"/>
      <c r="K13" s="646"/>
      <c r="L13" s="646"/>
      <c r="M13" s="646"/>
      <c r="N13" s="646"/>
      <c r="O13" s="646"/>
      <c r="P13" s="646"/>
      <c r="Q13" s="646"/>
      <c r="R13" s="646"/>
      <c r="S13" s="408">
        <f ca="1">S11+S12</f>
        <v>0</v>
      </c>
      <c r="U13" s="408">
        <f ca="1">U12*2</f>
        <v>0</v>
      </c>
      <c r="V13" s="408">
        <f ca="1">V12*2</f>
        <v>0</v>
      </c>
      <c r="W13" s="408">
        <f ca="1">W12*2</f>
        <v>0</v>
      </c>
    </row>
    <row r="14" spans="1:23" ht="18" customHeight="1" x14ac:dyDescent="0.25">
      <c r="E14" s="630" t="s">
        <v>40</v>
      </c>
      <c r="F14" s="631" t="s">
        <v>357</v>
      </c>
      <c r="G14" s="632"/>
      <c r="H14" s="633"/>
      <c r="I14" s="631" t="s">
        <v>358</v>
      </c>
      <c r="J14" s="632"/>
      <c r="K14" s="633"/>
      <c r="L14" s="630" t="s">
        <v>359</v>
      </c>
      <c r="M14" s="630" t="s">
        <v>360</v>
      </c>
      <c r="N14" s="628" t="s">
        <v>372</v>
      </c>
      <c r="O14" s="642" t="s">
        <v>361</v>
      </c>
      <c r="P14" s="643"/>
      <c r="Q14" s="642" t="s">
        <v>362</v>
      </c>
      <c r="R14" s="643"/>
      <c r="S14" s="408"/>
    </row>
    <row r="15" spans="1:23" ht="18" customHeight="1" x14ac:dyDescent="0.25">
      <c r="E15" s="630"/>
      <c r="F15" s="634"/>
      <c r="G15" s="635"/>
      <c r="H15" s="636"/>
      <c r="I15" s="634"/>
      <c r="J15" s="635"/>
      <c r="K15" s="636"/>
      <c r="L15" s="630"/>
      <c r="M15" s="630"/>
      <c r="N15" s="629"/>
      <c r="O15" s="644" t="s">
        <v>190</v>
      </c>
      <c r="P15" s="644"/>
      <c r="Q15" s="644"/>
      <c r="R15" s="644"/>
      <c r="S15" s="3">
        <f ca="1">IFERROR(IF($T$7&gt;=5,VLOOKUP($S$7,DATA!$U$8:$BL$19,2),0),0)</f>
        <v>0</v>
      </c>
      <c r="T15" s="3">
        <f ca="1">IFERROR(IF($T$7&gt;=5,VLOOKUP($S$7,DATA!$U$8:$BL$19,3),0),0)</f>
        <v>0</v>
      </c>
      <c r="U15" s="3">
        <f ca="1">IFERROR(IF($T$7&gt;=5,VLOOKUP($S$7,PAYMENT!$AG$8:$AJ$19,2),0),0)</f>
        <v>0</v>
      </c>
      <c r="V15" s="3">
        <f ca="1">IFERROR(IF($T$7&gt;=5,VLOOKUP($S$7,PAYMENT!$AG$8:$AJ$19,3),0),0)</f>
        <v>0</v>
      </c>
      <c r="W15" s="3">
        <f ca="1">IFERROR(IF($T$7&gt;=5,VLOOKUP($S$7,PAYMENT!$AG$8:$AJ$19,4),0),0)</f>
        <v>0</v>
      </c>
    </row>
    <row r="16" spans="1:23" ht="24.95" customHeight="1" x14ac:dyDescent="0.25">
      <c r="E16" s="409">
        <f>IF(LEN(F16)&gt;=3,1,0)</f>
        <v>0</v>
      </c>
      <c r="F16" s="637"/>
      <c r="G16" s="638"/>
      <c r="H16" s="639"/>
      <c r="I16" s="637"/>
      <c r="J16" s="638"/>
      <c r="K16" s="639"/>
      <c r="L16" s="412"/>
      <c r="M16" s="412"/>
      <c r="N16" s="412"/>
      <c r="O16" s="640"/>
      <c r="P16" s="641"/>
      <c r="Q16" s="640"/>
      <c r="R16" s="641"/>
      <c r="S16" s="3">
        <f ca="1">IFERROR(IF($T$7&gt;=5,VLOOKUP($S$7,DATA!$U$8:$BL$19,4),0),0)</f>
        <v>0</v>
      </c>
      <c r="T16" s="3">
        <f ca="1">IFERROR(IF($T$7&gt;=5,VLOOKUP($S$7,DATA!$U$8:$BL$19,5),0),0)</f>
        <v>0</v>
      </c>
    </row>
    <row r="17" spans="5:23" ht="24.95" customHeight="1" x14ac:dyDescent="0.25">
      <c r="E17" s="409">
        <f>IF(LEN(F17)&gt;=3,E16+1,0)</f>
        <v>0</v>
      </c>
      <c r="F17" s="637"/>
      <c r="G17" s="638"/>
      <c r="H17" s="639"/>
      <c r="I17" s="637"/>
      <c r="J17" s="638"/>
      <c r="K17" s="639"/>
      <c r="L17" s="412"/>
      <c r="M17" s="412"/>
      <c r="N17" s="412"/>
      <c r="O17" s="640"/>
      <c r="P17" s="641"/>
      <c r="Q17" s="640"/>
      <c r="R17" s="641"/>
      <c r="S17" s="408">
        <f t="shared" ref="S17:T17" ca="1" si="0">S15+S16</f>
        <v>0</v>
      </c>
      <c r="T17" s="408">
        <f t="shared" ca="1" si="0"/>
        <v>0</v>
      </c>
    </row>
    <row r="18" spans="5:23" ht="24.95" customHeight="1" x14ac:dyDescent="0.25">
      <c r="E18" s="409">
        <f t="shared" ref="E18:E24" si="1">IF(LEN(F18)&gt;=3,E17+1,0)</f>
        <v>0</v>
      </c>
      <c r="F18" s="637"/>
      <c r="G18" s="638"/>
      <c r="H18" s="639"/>
      <c r="I18" s="637"/>
      <c r="J18" s="638"/>
      <c r="K18" s="639"/>
      <c r="L18" s="412"/>
      <c r="M18" s="412"/>
      <c r="N18" s="412"/>
      <c r="O18" s="640"/>
      <c r="P18" s="641"/>
      <c r="Q18" s="640"/>
      <c r="R18" s="641"/>
      <c r="S18" s="3">
        <f ca="1">IF(S17&gt;=U13,3,IF(S17&gt;=U12,2,IF(S17&gt;=0,1,0)))</f>
        <v>3</v>
      </c>
      <c r="T18" s="3">
        <f ca="1">IF(T17&gt;=W13,3,IF(T17&gt;=W12,2,IF(T17&gt;=0,1,0)))</f>
        <v>3</v>
      </c>
      <c r="U18" s="3">
        <f>IF(U17&gt;=X13,3,IF(U17&gt;=X12,2,IF(U17&gt;=0,1,0)))</f>
        <v>3</v>
      </c>
    </row>
    <row r="19" spans="5:23" ht="24.95" customHeight="1" x14ac:dyDescent="0.25">
      <c r="E19" s="409">
        <f t="shared" si="1"/>
        <v>0</v>
      </c>
      <c r="F19" s="637"/>
      <c r="G19" s="638"/>
      <c r="H19" s="639"/>
      <c r="I19" s="637"/>
      <c r="J19" s="638"/>
      <c r="K19" s="639"/>
      <c r="L19" s="412"/>
      <c r="M19" s="412"/>
      <c r="N19" s="412"/>
      <c r="O19" s="640"/>
      <c r="P19" s="641"/>
      <c r="Q19" s="640"/>
      <c r="R19" s="641"/>
      <c r="S19" s="3" t="s">
        <v>259</v>
      </c>
      <c r="T19" s="3" t="s">
        <v>255</v>
      </c>
      <c r="U19" s="3" t="s">
        <v>240</v>
      </c>
      <c r="V19" s="3" t="s">
        <v>256</v>
      </c>
      <c r="W19" s="3" t="s">
        <v>241</v>
      </c>
    </row>
    <row r="20" spans="5:23" ht="24.95" customHeight="1" x14ac:dyDescent="0.25">
      <c r="E20" s="409">
        <f t="shared" si="1"/>
        <v>0</v>
      </c>
      <c r="F20" s="637"/>
      <c r="G20" s="638"/>
      <c r="H20" s="639"/>
      <c r="I20" s="637"/>
      <c r="J20" s="638"/>
      <c r="K20" s="639"/>
      <c r="L20" s="412"/>
      <c r="M20" s="412"/>
      <c r="N20" s="412"/>
      <c r="O20" s="640"/>
      <c r="P20" s="641"/>
      <c r="Q20" s="640"/>
      <c r="R20" s="641"/>
    </row>
    <row r="21" spans="5:23" ht="24.95" customHeight="1" x14ac:dyDescent="0.25">
      <c r="E21" s="409">
        <f t="shared" si="1"/>
        <v>0</v>
      </c>
      <c r="F21" s="637"/>
      <c r="G21" s="638"/>
      <c r="H21" s="639"/>
      <c r="I21" s="637"/>
      <c r="J21" s="638"/>
      <c r="K21" s="639"/>
      <c r="L21" s="412"/>
      <c r="M21" s="412"/>
      <c r="N21" s="412"/>
      <c r="O21" s="640"/>
      <c r="P21" s="641"/>
      <c r="Q21" s="640"/>
      <c r="R21" s="641"/>
    </row>
    <row r="22" spans="5:23" ht="24.95" customHeight="1" x14ac:dyDescent="0.25">
      <c r="E22" s="409">
        <f t="shared" si="1"/>
        <v>0</v>
      </c>
      <c r="F22" s="637"/>
      <c r="G22" s="638"/>
      <c r="H22" s="639"/>
      <c r="I22" s="637"/>
      <c r="J22" s="638"/>
      <c r="K22" s="639"/>
      <c r="L22" s="412"/>
      <c r="M22" s="412"/>
      <c r="N22" s="412"/>
      <c r="O22" s="640"/>
      <c r="P22" s="641"/>
      <c r="Q22" s="640"/>
      <c r="R22" s="641"/>
    </row>
    <row r="23" spans="5:23" ht="24.95" customHeight="1" x14ac:dyDescent="0.25">
      <c r="E23" s="409">
        <f t="shared" si="1"/>
        <v>0</v>
      </c>
      <c r="F23" s="637"/>
      <c r="G23" s="638"/>
      <c r="H23" s="639"/>
      <c r="I23" s="637"/>
      <c r="J23" s="638"/>
      <c r="K23" s="639"/>
      <c r="L23" s="412"/>
      <c r="M23" s="412"/>
      <c r="N23" s="412"/>
      <c r="O23" s="640"/>
      <c r="P23" s="641"/>
      <c r="Q23" s="640"/>
      <c r="R23" s="641"/>
    </row>
    <row r="24" spans="5:23" ht="24.95" customHeight="1" x14ac:dyDescent="0.25">
      <c r="E24" s="409">
        <f t="shared" si="1"/>
        <v>0</v>
      </c>
      <c r="F24" s="637"/>
      <c r="G24" s="638"/>
      <c r="H24" s="639"/>
      <c r="I24" s="637"/>
      <c r="J24" s="638"/>
      <c r="K24" s="639"/>
      <c r="L24" s="412"/>
      <c r="M24" s="412"/>
      <c r="N24" s="412"/>
      <c r="O24" s="640"/>
      <c r="P24" s="641"/>
      <c r="Q24" s="640"/>
      <c r="R24" s="641"/>
    </row>
    <row r="25" spans="5:23" ht="18" x14ac:dyDescent="0.25">
      <c r="E25" s="410"/>
      <c r="F25" s="410"/>
      <c r="G25" s="410"/>
      <c r="H25" s="410"/>
      <c r="I25" s="410"/>
      <c r="J25" s="410"/>
      <c r="K25" s="410"/>
      <c r="L25" s="410"/>
      <c r="M25" s="410"/>
      <c r="N25" s="410"/>
      <c r="O25" s="411"/>
      <c r="P25" s="411"/>
      <c r="Q25" s="411"/>
      <c r="R25" s="411"/>
    </row>
    <row r="26" spans="5:23" ht="18" x14ac:dyDescent="0.25">
      <c r="E26" s="410"/>
      <c r="F26" s="410"/>
      <c r="G26" s="410"/>
      <c r="H26" s="410"/>
      <c r="I26" s="410"/>
      <c r="J26" s="410"/>
      <c r="K26" s="410"/>
      <c r="L26" s="410"/>
      <c r="M26" s="410"/>
      <c r="N26" s="410"/>
      <c r="O26" s="411"/>
      <c r="P26" s="411"/>
      <c r="Q26" s="411"/>
      <c r="R26" s="411"/>
    </row>
    <row r="27" spans="5:23" ht="18" x14ac:dyDescent="0.25">
      <c r="E27" s="410"/>
      <c r="F27" s="410"/>
      <c r="G27" s="410"/>
      <c r="H27" s="410"/>
      <c r="I27" s="410"/>
      <c r="J27" s="410"/>
      <c r="K27" s="410"/>
      <c r="L27" s="410"/>
      <c r="M27" s="410"/>
      <c r="N27" s="410"/>
      <c r="O27" s="411"/>
      <c r="P27" s="411"/>
      <c r="Q27" s="411"/>
      <c r="R27" s="411"/>
    </row>
    <row r="28" spans="5:23" ht="18" x14ac:dyDescent="0.25">
      <c r="E28" s="410"/>
      <c r="F28" s="410"/>
      <c r="G28" s="410"/>
      <c r="H28" s="410"/>
      <c r="I28" s="410"/>
      <c r="J28" s="410"/>
      <c r="K28" s="410"/>
      <c r="L28" s="410"/>
      <c r="M28" s="410"/>
      <c r="N28" s="410"/>
      <c r="O28" s="411"/>
      <c r="P28" s="411"/>
      <c r="Q28" s="411"/>
      <c r="R28" s="411"/>
    </row>
    <row r="29" spans="5:23" ht="18" x14ac:dyDescent="0.25">
      <c r="E29" s="410"/>
      <c r="F29" s="410"/>
      <c r="G29" s="410"/>
      <c r="H29" s="410"/>
      <c r="I29" s="410"/>
      <c r="J29" s="410"/>
      <c r="K29" s="410"/>
      <c r="L29" s="410"/>
      <c r="M29" s="410"/>
      <c r="N29" s="410"/>
      <c r="O29" s="410"/>
      <c r="P29" s="410"/>
      <c r="Q29" s="410"/>
      <c r="R29" s="410"/>
    </row>
    <row r="30" spans="5:23" ht="18" x14ac:dyDescent="0.25">
      <c r="E30" s="410"/>
      <c r="F30" s="410"/>
      <c r="G30" s="410"/>
      <c r="H30" s="410"/>
      <c r="I30" s="410"/>
      <c r="J30" s="410"/>
      <c r="K30" s="410"/>
      <c r="L30" s="410"/>
      <c r="M30" s="410"/>
      <c r="N30" s="410"/>
      <c r="O30" s="410"/>
      <c r="P30" s="410"/>
      <c r="Q30" s="410"/>
      <c r="R30" s="410"/>
    </row>
    <row r="31" spans="5:23" ht="18" x14ac:dyDescent="0.25">
      <c r="E31" s="410"/>
      <c r="F31" s="410"/>
      <c r="G31" s="410"/>
      <c r="H31" s="410"/>
      <c r="I31" s="410"/>
      <c r="J31" s="410"/>
      <c r="K31" s="410"/>
      <c r="L31" s="410"/>
      <c r="M31" s="410"/>
      <c r="N31" s="410"/>
      <c r="O31" s="410"/>
      <c r="P31" s="410"/>
      <c r="Q31" s="410"/>
      <c r="R31" s="410"/>
    </row>
    <row r="32" spans="5:23" ht="18" x14ac:dyDescent="0.25">
      <c r="E32" s="410"/>
      <c r="F32" s="410"/>
      <c r="G32" s="410"/>
      <c r="H32" s="410"/>
      <c r="I32" s="410"/>
      <c r="J32" s="410"/>
      <c r="K32" s="410"/>
      <c r="L32" s="410"/>
      <c r="M32" s="410"/>
      <c r="N32" s="410"/>
      <c r="O32" s="410"/>
      <c r="P32" s="410"/>
      <c r="Q32" s="410"/>
      <c r="R32" s="410"/>
    </row>
  </sheetData>
  <sheetProtection password="D693" sheet="1" objects="1" scenarios="1"/>
  <mergeCells count="58">
    <mergeCell ref="L10:L11"/>
    <mergeCell ref="G10:G11"/>
    <mergeCell ref="E13:R13"/>
    <mergeCell ref="P10:P11"/>
    <mergeCell ref="I2:I4"/>
    <mergeCell ref="G1:G5"/>
    <mergeCell ref="O2:O4"/>
    <mergeCell ref="Q1:Q5"/>
    <mergeCell ref="J1:N5"/>
    <mergeCell ref="E7:R7"/>
    <mergeCell ref="F9:H9"/>
    <mergeCell ref="O9:Q9"/>
    <mergeCell ref="K9:M9"/>
    <mergeCell ref="Q21:R21"/>
    <mergeCell ref="Q22:R22"/>
    <mergeCell ref="Q23:R23"/>
    <mergeCell ref="Q24:R24"/>
    <mergeCell ref="O14:P14"/>
    <mergeCell ref="Q14:R14"/>
    <mergeCell ref="O15:R15"/>
    <mergeCell ref="I23:K23"/>
    <mergeCell ref="I24:K24"/>
    <mergeCell ref="O16:P16"/>
    <mergeCell ref="Q16:R16"/>
    <mergeCell ref="O17:P17"/>
    <mergeCell ref="O18:P18"/>
    <mergeCell ref="O19:P19"/>
    <mergeCell ref="O20:P20"/>
    <mergeCell ref="O21:P21"/>
    <mergeCell ref="O22:P22"/>
    <mergeCell ref="O23:P23"/>
    <mergeCell ref="O24:P24"/>
    <mergeCell ref="Q17:R17"/>
    <mergeCell ref="Q18:R18"/>
    <mergeCell ref="Q19:R19"/>
    <mergeCell ref="Q20:R20"/>
    <mergeCell ref="F22:H22"/>
    <mergeCell ref="F23:H23"/>
    <mergeCell ref="F24:H24"/>
    <mergeCell ref="I16:K16"/>
    <mergeCell ref="I17:K17"/>
    <mergeCell ref="I18:K18"/>
    <mergeCell ref="I19:K19"/>
    <mergeCell ref="I20:K20"/>
    <mergeCell ref="I21:K21"/>
    <mergeCell ref="I22:K22"/>
    <mergeCell ref="F16:H16"/>
    <mergeCell ref="F17:H17"/>
    <mergeCell ref="F18:H18"/>
    <mergeCell ref="F19:H19"/>
    <mergeCell ref="F20:H20"/>
    <mergeCell ref="F21:H21"/>
    <mergeCell ref="N14:N15"/>
    <mergeCell ref="L14:L15"/>
    <mergeCell ref="M14:M15"/>
    <mergeCell ref="E14:E15"/>
    <mergeCell ref="F14:H15"/>
    <mergeCell ref="I14:K15"/>
  </mergeCells>
  <conditionalFormatting sqref="G1:G5 Q1:Q5 G10:G11 L10:L11 P10:P11">
    <cfRule type="cellIs" dxfId="188" priority="5" operator="equal">
      <formula>3</formula>
    </cfRule>
    <cfRule type="cellIs" dxfId="187" priority="4" operator="equal">
      <formula>2</formula>
    </cfRule>
    <cfRule type="cellIs" dxfId="186" priority="3" operator="equal">
      <formula>1</formula>
    </cfRule>
    <cfRule type="cellIs" dxfId="185" priority="2" operator="equal">
      <formula>0</formula>
    </cfRule>
  </conditionalFormatting>
  <conditionalFormatting sqref="E16:E24">
    <cfRule type="cellIs" dxfId="184" priority="1" operator="equal">
      <formula>0</formula>
    </cfRule>
  </conditionalFormatting>
  <dataValidations count="2">
    <dataValidation type="list" allowBlank="1" showInputMessage="1" showErrorMessage="1" sqref="M16:M24" xr:uid="{00000000-0002-0000-0300-000000000000}">
      <formula1>$B$8:$B$13</formula1>
    </dataValidation>
    <dataValidation type="list" allowBlank="1" showInputMessage="1" showErrorMessage="1" sqref="L16:L24" xr:uid="{00000000-0002-0000-0300-000001000000}">
      <formula1>$A$8:$A$9</formula1>
    </dataValidation>
  </dataValidations>
  <pageMargins left="0.7" right="0.7" top="0.75" bottom="0.75" header="0.3" footer="0.3"/>
  <pageSetup paperSize="9" scale="67"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0099"/>
  </sheetPr>
  <dimension ref="A1:FT41"/>
  <sheetViews>
    <sheetView showWhiteSpace="0" view="pageBreakPreview" zoomScaleNormal="100" zoomScaleSheetLayoutView="100" workbookViewId="0">
      <pane xSplit="8" ySplit="9" topLeftCell="I10" activePane="bottomRight" state="frozen"/>
      <selection activeCell="H5" sqref="H5"/>
      <selection pane="topRight" activeCell="I5" sqref="I5"/>
      <selection pane="bottomLeft" activeCell="H10" sqref="H10"/>
      <selection pane="bottomRight" activeCell="L13" sqref="L13:U13"/>
    </sheetView>
  </sheetViews>
  <sheetFormatPr defaultRowHeight="15" x14ac:dyDescent="0.25"/>
  <cols>
    <col min="1" max="7" width="9.140625" style="3" hidden="1" customWidth="1"/>
    <col min="8" max="8" width="2.7109375" style="3" customWidth="1"/>
    <col min="9" max="9" width="7.28515625" style="3" customWidth="1"/>
    <col min="10" max="10" width="20.42578125" style="3" customWidth="1"/>
    <col min="11" max="11" width="11.42578125" style="3" customWidth="1"/>
    <col min="12" max="21" width="4.28515625" style="3" customWidth="1"/>
    <col min="22" max="22" width="2.7109375" style="3" customWidth="1"/>
    <col min="23" max="23" width="7.28515625" style="3" customWidth="1"/>
    <col min="24" max="24" width="20.42578125" style="3" customWidth="1"/>
    <col min="25" max="25" width="11.42578125" style="3" customWidth="1"/>
    <col min="26" max="35" width="4.28515625" style="3" customWidth="1"/>
    <col min="36" max="36" width="2.7109375" style="3" customWidth="1"/>
    <col min="37" max="37" width="7.28515625" style="3" customWidth="1"/>
    <col min="38" max="38" width="20.42578125" style="3" customWidth="1"/>
    <col min="39" max="39" width="11.42578125" style="3" customWidth="1"/>
    <col min="40" max="49" width="4.28515625" style="3" customWidth="1"/>
    <col min="50" max="50" width="2.7109375" style="3" customWidth="1"/>
    <col min="51" max="51" width="7.28515625" style="3" customWidth="1"/>
    <col min="52" max="52" width="20.42578125" style="3" customWidth="1"/>
    <col min="53" max="53" width="11.42578125" style="3" customWidth="1"/>
    <col min="54" max="63" width="4.28515625" style="3" customWidth="1"/>
    <col min="64" max="64" width="2.7109375" style="3" customWidth="1"/>
    <col min="65" max="65" width="7.28515625" style="3" customWidth="1"/>
    <col min="66" max="66" width="20.42578125" style="3" customWidth="1"/>
    <col min="67" max="67" width="11.42578125" style="3" customWidth="1"/>
    <col min="68" max="77" width="4.28515625" style="3" customWidth="1"/>
    <col min="78" max="78" width="2.7109375" style="3" customWidth="1"/>
    <col min="79" max="79" width="7.28515625" style="3" customWidth="1"/>
    <col min="80" max="80" width="20.42578125" style="3" customWidth="1"/>
    <col min="81" max="81" width="11.42578125" style="3" customWidth="1"/>
    <col min="82" max="91" width="4.28515625" style="3" customWidth="1"/>
    <col min="92" max="92" width="2.7109375" style="3" customWidth="1"/>
    <col min="93" max="93" width="7.28515625" style="3" customWidth="1"/>
    <col min="94" max="94" width="20.42578125" style="3" customWidth="1"/>
    <col min="95" max="95" width="11.42578125" style="3" customWidth="1"/>
    <col min="96" max="105" width="4.28515625" style="3" customWidth="1"/>
    <col min="106" max="106" width="2.7109375" style="3" customWidth="1"/>
    <col min="107" max="107" width="7.28515625" style="3" customWidth="1"/>
    <col min="108" max="108" width="20.42578125" style="3" customWidth="1"/>
    <col min="109" max="109" width="11.42578125" style="3" customWidth="1"/>
    <col min="110" max="119" width="4.28515625" style="3" customWidth="1"/>
    <col min="120" max="120" width="2.7109375" style="3" customWidth="1"/>
    <col min="121" max="121" width="7.28515625" style="3" customWidth="1"/>
    <col min="122" max="122" width="20.42578125" style="3" customWidth="1"/>
    <col min="123" max="123" width="11.42578125" style="3" customWidth="1"/>
    <col min="124" max="133" width="4.28515625" style="3" customWidth="1"/>
    <col min="134" max="134" width="2.7109375" style="3" customWidth="1"/>
    <col min="135" max="135" width="7.28515625" style="3" customWidth="1"/>
    <col min="136" max="136" width="20.42578125" style="3" customWidth="1"/>
    <col min="137" max="137" width="11.42578125" style="3" customWidth="1"/>
    <col min="138" max="147" width="4.28515625" style="3" customWidth="1"/>
    <col min="148" max="148" width="2.7109375" style="3" customWidth="1"/>
    <col min="149" max="149" width="7.28515625" style="3" customWidth="1"/>
    <col min="150" max="150" width="20.42578125" style="3" customWidth="1"/>
    <col min="151" max="151" width="11.42578125" style="3" customWidth="1"/>
    <col min="152" max="161" width="4.28515625" style="3" customWidth="1"/>
    <col min="162" max="162" width="2.7109375" style="3" customWidth="1"/>
    <col min="163" max="163" width="7.28515625" style="3" customWidth="1"/>
    <col min="164" max="164" width="20.42578125" style="3" customWidth="1"/>
    <col min="165" max="165" width="11.42578125" style="3" customWidth="1"/>
    <col min="166" max="175" width="4.28515625" style="3" customWidth="1"/>
    <col min="176" max="176" width="2.7109375" style="3" customWidth="1"/>
    <col min="177" max="16384" width="9.140625" style="3"/>
  </cols>
  <sheetData>
    <row r="1" spans="6:176" hidden="1" x14ac:dyDescent="0.25">
      <c r="I1" s="3" t="str">
        <f>IF(LEN(I6)&gt;=7,LEFT(I6,LEN(I6)-5),"")</f>
        <v>मई</v>
      </c>
    </row>
    <row r="2" spans="6:176" hidden="1" x14ac:dyDescent="0.25"/>
    <row r="3" spans="6:176" hidden="1" x14ac:dyDescent="0.25"/>
    <row r="4" spans="6:176" hidden="1" x14ac:dyDescent="0.25"/>
    <row r="5" spans="6:176" ht="15" customHeight="1" thickBot="1" x14ac:dyDescent="0.3">
      <c r="H5" s="46"/>
      <c r="I5" s="46">
        <v>0</v>
      </c>
      <c r="J5" s="46"/>
      <c r="K5" s="46"/>
      <c r="L5" s="46"/>
      <c r="M5" s="46"/>
      <c r="N5" s="46"/>
      <c r="O5" s="46"/>
      <c r="P5" s="46"/>
      <c r="Q5" s="46"/>
      <c r="R5" s="46"/>
      <c r="S5" s="46"/>
      <c r="T5" s="46"/>
      <c r="U5" s="46"/>
      <c r="V5" s="46"/>
      <c r="W5" s="46">
        <v>0</v>
      </c>
      <c r="X5" s="46"/>
      <c r="Y5" s="46"/>
      <c r="Z5" s="46"/>
      <c r="AA5" s="46"/>
      <c r="AB5" s="46"/>
      <c r="AC5" s="46"/>
      <c r="AD5" s="46"/>
      <c r="AE5" s="46"/>
      <c r="AF5" s="46"/>
      <c r="AG5" s="46"/>
      <c r="AH5" s="46"/>
      <c r="AI5" s="46"/>
      <c r="AJ5" s="46"/>
      <c r="AK5" s="46">
        <v>0</v>
      </c>
      <c r="AL5" s="46"/>
      <c r="AM5" s="46"/>
      <c r="AN5" s="46"/>
      <c r="AO5" s="46"/>
      <c r="AP5" s="46"/>
      <c r="AQ5" s="46"/>
      <c r="AR5" s="46"/>
      <c r="AS5" s="46"/>
      <c r="AT5" s="46"/>
      <c r="AU5" s="46"/>
      <c r="AV5" s="46"/>
      <c r="AW5" s="46"/>
      <c r="AX5" s="46"/>
      <c r="AY5" s="46">
        <v>0</v>
      </c>
      <c r="AZ5" s="46"/>
      <c r="BA5" s="46"/>
      <c r="BB5" s="46"/>
      <c r="BC5" s="46"/>
      <c r="BD5" s="46"/>
      <c r="BE5" s="46"/>
      <c r="BF5" s="46"/>
      <c r="BG5" s="46"/>
      <c r="BH5" s="46"/>
      <c r="BI5" s="46"/>
      <c r="BJ5" s="46"/>
      <c r="BK5" s="46"/>
      <c r="BL5" s="46"/>
      <c r="BM5" s="46">
        <v>0</v>
      </c>
      <c r="BN5" s="46"/>
      <c r="BO5" s="46"/>
      <c r="BP5" s="46"/>
      <c r="BQ5" s="46"/>
      <c r="BR5" s="46"/>
      <c r="BS5" s="46"/>
      <c r="BT5" s="46"/>
      <c r="BU5" s="46"/>
      <c r="BV5" s="46"/>
      <c r="BW5" s="46"/>
      <c r="BX5" s="46"/>
      <c r="BY5" s="46"/>
      <c r="BZ5" s="46"/>
      <c r="CA5" s="46">
        <v>0</v>
      </c>
      <c r="CB5" s="46"/>
      <c r="CC5" s="46"/>
      <c r="CD5" s="46"/>
      <c r="CE5" s="46"/>
      <c r="CF5" s="46"/>
      <c r="CG5" s="46"/>
      <c r="CH5" s="46"/>
      <c r="CI5" s="46"/>
      <c r="CJ5" s="46"/>
      <c r="CK5" s="46"/>
      <c r="CL5" s="46"/>
      <c r="CM5" s="46"/>
      <c r="CN5" s="46"/>
    </row>
    <row r="6" spans="6:176" ht="27" customHeight="1" x14ac:dyDescent="0.25">
      <c r="H6" s="16"/>
      <c r="I6" s="750" t="str">
        <f>DALLY!N10</f>
        <v>मई 2019</v>
      </c>
      <c r="J6" s="751"/>
      <c r="K6" s="751"/>
      <c r="L6" s="751"/>
      <c r="M6" s="751"/>
      <c r="N6" s="751"/>
      <c r="O6" s="751"/>
      <c r="P6" s="751"/>
      <c r="Q6" s="751"/>
      <c r="R6" s="751"/>
      <c r="S6" s="751"/>
      <c r="T6" s="751"/>
      <c r="U6" s="752"/>
      <c r="V6" s="46"/>
      <c r="W6" s="753" t="str">
        <f>DALLY!AM10</f>
        <v>जून 2019</v>
      </c>
      <c r="X6" s="754"/>
      <c r="Y6" s="754"/>
      <c r="Z6" s="754"/>
      <c r="AA6" s="754"/>
      <c r="AB6" s="754"/>
      <c r="AC6" s="754"/>
      <c r="AD6" s="754"/>
      <c r="AE6" s="754"/>
      <c r="AF6" s="754"/>
      <c r="AG6" s="754"/>
      <c r="AH6" s="754"/>
      <c r="AI6" s="755"/>
      <c r="AJ6" s="46"/>
      <c r="AK6" s="720" t="str">
        <f>DALLY!BL10</f>
        <v>जुलाई 2019</v>
      </c>
      <c r="AL6" s="721"/>
      <c r="AM6" s="721"/>
      <c r="AN6" s="721"/>
      <c r="AO6" s="721"/>
      <c r="AP6" s="721"/>
      <c r="AQ6" s="721"/>
      <c r="AR6" s="721"/>
      <c r="AS6" s="721"/>
      <c r="AT6" s="721"/>
      <c r="AU6" s="721"/>
      <c r="AV6" s="721"/>
      <c r="AW6" s="722"/>
      <c r="AX6" s="46"/>
      <c r="AY6" s="723" t="str">
        <f>DALLY!CK10</f>
        <v>अगस्त 2019</v>
      </c>
      <c r="AZ6" s="724"/>
      <c r="BA6" s="724"/>
      <c r="BB6" s="724"/>
      <c r="BC6" s="724"/>
      <c r="BD6" s="724"/>
      <c r="BE6" s="724"/>
      <c r="BF6" s="724"/>
      <c r="BG6" s="724"/>
      <c r="BH6" s="724"/>
      <c r="BI6" s="724"/>
      <c r="BJ6" s="724"/>
      <c r="BK6" s="725"/>
      <c r="BL6" s="46"/>
      <c r="BM6" s="726" t="str">
        <f>DALLY!DJ10</f>
        <v>सितम्बर 2019</v>
      </c>
      <c r="BN6" s="727"/>
      <c r="BO6" s="727"/>
      <c r="BP6" s="727"/>
      <c r="BQ6" s="727"/>
      <c r="BR6" s="727"/>
      <c r="BS6" s="727"/>
      <c r="BT6" s="727"/>
      <c r="BU6" s="727"/>
      <c r="BV6" s="727"/>
      <c r="BW6" s="727"/>
      <c r="BX6" s="727"/>
      <c r="BY6" s="728"/>
      <c r="BZ6" s="46"/>
      <c r="CA6" s="729" t="str">
        <f>DALLY!EI10</f>
        <v>अक्टूम्बर 2019</v>
      </c>
      <c r="CB6" s="730"/>
      <c r="CC6" s="730"/>
      <c r="CD6" s="730"/>
      <c r="CE6" s="730"/>
      <c r="CF6" s="730"/>
      <c r="CG6" s="730"/>
      <c r="CH6" s="730"/>
      <c r="CI6" s="730"/>
      <c r="CJ6" s="730"/>
      <c r="CK6" s="730"/>
      <c r="CL6" s="730"/>
      <c r="CM6" s="731"/>
      <c r="CN6" s="16"/>
      <c r="CO6" s="750" t="str">
        <f>DALLY!FH10</f>
        <v>नवम्बर 2019</v>
      </c>
      <c r="CP6" s="751"/>
      <c r="CQ6" s="751"/>
      <c r="CR6" s="751"/>
      <c r="CS6" s="751"/>
      <c r="CT6" s="751"/>
      <c r="CU6" s="751"/>
      <c r="CV6" s="751"/>
      <c r="CW6" s="751"/>
      <c r="CX6" s="751"/>
      <c r="CY6" s="751"/>
      <c r="CZ6" s="751"/>
      <c r="DA6" s="752"/>
      <c r="DB6" s="46"/>
      <c r="DC6" s="753" t="str">
        <f>DALLY!GG10</f>
        <v>दिसम्बर 2019</v>
      </c>
      <c r="DD6" s="754"/>
      <c r="DE6" s="754"/>
      <c r="DF6" s="754"/>
      <c r="DG6" s="754"/>
      <c r="DH6" s="754"/>
      <c r="DI6" s="754"/>
      <c r="DJ6" s="754"/>
      <c r="DK6" s="754"/>
      <c r="DL6" s="754"/>
      <c r="DM6" s="754"/>
      <c r="DN6" s="754"/>
      <c r="DO6" s="755"/>
      <c r="DP6" s="46"/>
      <c r="DQ6" s="720" t="str">
        <f>DALLY!HF10</f>
        <v>जनवरी 2020</v>
      </c>
      <c r="DR6" s="721"/>
      <c r="DS6" s="721"/>
      <c r="DT6" s="721"/>
      <c r="DU6" s="721"/>
      <c r="DV6" s="721"/>
      <c r="DW6" s="721"/>
      <c r="DX6" s="721"/>
      <c r="DY6" s="721"/>
      <c r="DZ6" s="721"/>
      <c r="EA6" s="721"/>
      <c r="EB6" s="721"/>
      <c r="EC6" s="722"/>
      <c r="ED6" s="46"/>
      <c r="EE6" s="723" t="str">
        <f>DALLY!IE10</f>
        <v>फरवरी 2020</v>
      </c>
      <c r="EF6" s="724"/>
      <c r="EG6" s="724"/>
      <c r="EH6" s="724"/>
      <c r="EI6" s="724"/>
      <c r="EJ6" s="724"/>
      <c r="EK6" s="724"/>
      <c r="EL6" s="724"/>
      <c r="EM6" s="724"/>
      <c r="EN6" s="724"/>
      <c r="EO6" s="724"/>
      <c r="EP6" s="724"/>
      <c r="EQ6" s="725"/>
      <c r="ER6" s="46"/>
      <c r="ES6" s="726" t="str">
        <f>DALLY!JD10</f>
        <v>मार्च 2020</v>
      </c>
      <c r="ET6" s="727"/>
      <c r="EU6" s="727"/>
      <c r="EV6" s="727"/>
      <c r="EW6" s="727"/>
      <c r="EX6" s="727"/>
      <c r="EY6" s="727"/>
      <c r="EZ6" s="727"/>
      <c r="FA6" s="727"/>
      <c r="FB6" s="727"/>
      <c r="FC6" s="727"/>
      <c r="FD6" s="727"/>
      <c r="FE6" s="728"/>
      <c r="FF6" s="46"/>
      <c r="FG6" s="729" t="str">
        <f>DALLY!KC10</f>
        <v>अप्रैल 2020</v>
      </c>
      <c r="FH6" s="730"/>
      <c r="FI6" s="730"/>
      <c r="FJ6" s="730"/>
      <c r="FK6" s="730"/>
      <c r="FL6" s="730"/>
      <c r="FM6" s="730"/>
      <c r="FN6" s="730"/>
      <c r="FO6" s="730"/>
      <c r="FP6" s="730"/>
      <c r="FQ6" s="730"/>
      <c r="FR6" s="730"/>
      <c r="FS6" s="731"/>
      <c r="FT6" s="46"/>
    </row>
    <row r="7" spans="6:176" ht="38.25" customHeight="1" x14ac:dyDescent="0.25">
      <c r="H7" s="16"/>
      <c r="I7" s="732" t="s">
        <v>192</v>
      </c>
      <c r="J7" s="733"/>
      <c r="K7" s="733"/>
      <c r="L7" s="733"/>
      <c r="M7" s="733"/>
      <c r="N7" s="733"/>
      <c r="O7" s="733"/>
      <c r="P7" s="733"/>
      <c r="Q7" s="733"/>
      <c r="R7" s="733"/>
      <c r="S7" s="733"/>
      <c r="T7" s="733"/>
      <c r="U7" s="734"/>
      <c r="V7" s="46"/>
      <c r="W7" s="735" t="s">
        <v>192</v>
      </c>
      <c r="X7" s="736"/>
      <c r="Y7" s="736"/>
      <c r="Z7" s="736"/>
      <c r="AA7" s="736"/>
      <c r="AB7" s="736"/>
      <c r="AC7" s="736"/>
      <c r="AD7" s="736"/>
      <c r="AE7" s="736"/>
      <c r="AF7" s="736"/>
      <c r="AG7" s="736"/>
      <c r="AH7" s="736"/>
      <c r="AI7" s="737"/>
      <c r="AJ7" s="46"/>
      <c r="AK7" s="738" t="s">
        <v>192</v>
      </c>
      <c r="AL7" s="739"/>
      <c r="AM7" s="739"/>
      <c r="AN7" s="739"/>
      <c r="AO7" s="739"/>
      <c r="AP7" s="739"/>
      <c r="AQ7" s="739"/>
      <c r="AR7" s="739"/>
      <c r="AS7" s="739"/>
      <c r="AT7" s="739"/>
      <c r="AU7" s="739"/>
      <c r="AV7" s="739"/>
      <c r="AW7" s="740"/>
      <c r="AX7" s="46"/>
      <c r="AY7" s="741" t="s">
        <v>192</v>
      </c>
      <c r="AZ7" s="742"/>
      <c r="BA7" s="742"/>
      <c r="BB7" s="742"/>
      <c r="BC7" s="742"/>
      <c r="BD7" s="742"/>
      <c r="BE7" s="742"/>
      <c r="BF7" s="742"/>
      <c r="BG7" s="742"/>
      <c r="BH7" s="742"/>
      <c r="BI7" s="742"/>
      <c r="BJ7" s="742"/>
      <c r="BK7" s="743"/>
      <c r="BL7" s="46"/>
      <c r="BM7" s="744" t="s">
        <v>192</v>
      </c>
      <c r="BN7" s="745"/>
      <c r="BO7" s="745"/>
      <c r="BP7" s="745"/>
      <c r="BQ7" s="745"/>
      <c r="BR7" s="745"/>
      <c r="BS7" s="745"/>
      <c r="BT7" s="745"/>
      <c r="BU7" s="745"/>
      <c r="BV7" s="745"/>
      <c r="BW7" s="745"/>
      <c r="BX7" s="745"/>
      <c r="BY7" s="746"/>
      <c r="BZ7" s="46"/>
      <c r="CA7" s="747" t="s">
        <v>192</v>
      </c>
      <c r="CB7" s="748"/>
      <c r="CC7" s="748"/>
      <c r="CD7" s="748"/>
      <c r="CE7" s="748"/>
      <c r="CF7" s="748"/>
      <c r="CG7" s="748"/>
      <c r="CH7" s="748"/>
      <c r="CI7" s="748"/>
      <c r="CJ7" s="748"/>
      <c r="CK7" s="748"/>
      <c r="CL7" s="748"/>
      <c r="CM7" s="749"/>
      <c r="CN7" s="16"/>
      <c r="CO7" s="732" t="s">
        <v>192</v>
      </c>
      <c r="CP7" s="733"/>
      <c r="CQ7" s="733"/>
      <c r="CR7" s="733"/>
      <c r="CS7" s="733"/>
      <c r="CT7" s="733"/>
      <c r="CU7" s="733"/>
      <c r="CV7" s="733"/>
      <c r="CW7" s="733"/>
      <c r="CX7" s="733"/>
      <c r="CY7" s="733"/>
      <c r="CZ7" s="733"/>
      <c r="DA7" s="734"/>
      <c r="DB7" s="46"/>
      <c r="DC7" s="735" t="s">
        <v>192</v>
      </c>
      <c r="DD7" s="736"/>
      <c r="DE7" s="736"/>
      <c r="DF7" s="736"/>
      <c r="DG7" s="736"/>
      <c r="DH7" s="736"/>
      <c r="DI7" s="736"/>
      <c r="DJ7" s="736"/>
      <c r="DK7" s="736"/>
      <c r="DL7" s="736"/>
      <c r="DM7" s="736"/>
      <c r="DN7" s="736"/>
      <c r="DO7" s="737"/>
      <c r="DP7" s="46"/>
      <c r="DQ7" s="738" t="s">
        <v>192</v>
      </c>
      <c r="DR7" s="739"/>
      <c r="DS7" s="739"/>
      <c r="DT7" s="739"/>
      <c r="DU7" s="739"/>
      <c r="DV7" s="739"/>
      <c r="DW7" s="739"/>
      <c r="DX7" s="739"/>
      <c r="DY7" s="739"/>
      <c r="DZ7" s="739"/>
      <c r="EA7" s="739"/>
      <c r="EB7" s="739"/>
      <c r="EC7" s="740"/>
      <c r="ED7" s="46"/>
      <c r="EE7" s="741" t="s">
        <v>192</v>
      </c>
      <c r="EF7" s="742"/>
      <c r="EG7" s="742"/>
      <c r="EH7" s="742"/>
      <c r="EI7" s="742"/>
      <c r="EJ7" s="742"/>
      <c r="EK7" s="742"/>
      <c r="EL7" s="742"/>
      <c r="EM7" s="742"/>
      <c r="EN7" s="742"/>
      <c r="EO7" s="742"/>
      <c r="EP7" s="742"/>
      <c r="EQ7" s="743"/>
      <c r="ER7" s="46"/>
      <c r="ES7" s="744" t="s">
        <v>192</v>
      </c>
      <c r="ET7" s="745"/>
      <c r="EU7" s="745"/>
      <c r="EV7" s="745"/>
      <c r="EW7" s="745"/>
      <c r="EX7" s="745"/>
      <c r="EY7" s="745"/>
      <c r="EZ7" s="745"/>
      <c r="FA7" s="745"/>
      <c r="FB7" s="745"/>
      <c r="FC7" s="745"/>
      <c r="FD7" s="745"/>
      <c r="FE7" s="746"/>
      <c r="FF7" s="46"/>
      <c r="FG7" s="747" t="s">
        <v>192</v>
      </c>
      <c r="FH7" s="748"/>
      <c r="FI7" s="748"/>
      <c r="FJ7" s="748"/>
      <c r="FK7" s="748"/>
      <c r="FL7" s="748"/>
      <c r="FM7" s="748"/>
      <c r="FN7" s="748"/>
      <c r="FO7" s="748"/>
      <c r="FP7" s="748"/>
      <c r="FQ7" s="748"/>
      <c r="FR7" s="748"/>
      <c r="FS7" s="749"/>
      <c r="FT7" s="46"/>
    </row>
    <row r="8" spans="6:176" ht="20.100000000000001" customHeight="1" x14ac:dyDescent="0.25">
      <c r="H8" s="16"/>
      <c r="I8" s="756" t="s">
        <v>40</v>
      </c>
      <c r="J8" s="82" t="s">
        <v>178</v>
      </c>
      <c r="K8" s="757" t="s">
        <v>142</v>
      </c>
      <c r="L8" s="757" t="s">
        <v>191</v>
      </c>
      <c r="M8" s="757"/>
      <c r="N8" s="757"/>
      <c r="O8" s="757"/>
      <c r="P8" s="757"/>
      <c r="Q8" s="757"/>
      <c r="R8" s="757"/>
      <c r="S8" s="757"/>
      <c r="T8" s="757"/>
      <c r="U8" s="758"/>
      <c r="V8" s="46"/>
      <c r="W8" s="759" t="s">
        <v>40</v>
      </c>
      <c r="X8" s="83" t="s">
        <v>178</v>
      </c>
      <c r="Y8" s="760" t="s">
        <v>142</v>
      </c>
      <c r="Z8" s="760" t="s">
        <v>191</v>
      </c>
      <c r="AA8" s="760"/>
      <c r="AB8" s="760"/>
      <c r="AC8" s="760"/>
      <c r="AD8" s="760"/>
      <c r="AE8" s="760"/>
      <c r="AF8" s="760"/>
      <c r="AG8" s="760"/>
      <c r="AH8" s="760"/>
      <c r="AI8" s="761"/>
      <c r="AJ8" s="46"/>
      <c r="AK8" s="716" t="s">
        <v>40</v>
      </c>
      <c r="AL8" s="84" t="s">
        <v>178</v>
      </c>
      <c r="AM8" s="717" t="s">
        <v>142</v>
      </c>
      <c r="AN8" s="717" t="s">
        <v>191</v>
      </c>
      <c r="AO8" s="717"/>
      <c r="AP8" s="717"/>
      <c r="AQ8" s="717"/>
      <c r="AR8" s="717"/>
      <c r="AS8" s="717"/>
      <c r="AT8" s="717"/>
      <c r="AU8" s="717"/>
      <c r="AV8" s="717"/>
      <c r="AW8" s="718"/>
      <c r="AX8" s="46"/>
      <c r="AY8" s="719" t="s">
        <v>40</v>
      </c>
      <c r="AZ8" s="85" t="s">
        <v>178</v>
      </c>
      <c r="BA8" s="710" t="s">
        <v>142</v>
      </c>
      <c r="BB8" s="710" t="s">
        <v>191</v>
      </c>
      <c r="BC8" s="710"/>
      <c r="BD8" s="710"/>
      <c r="BE8" s="710"/>
      <c r="BF8" s="710"/>
      <c r="BG8" s="710"/>
      <c r="BH8" s="710"/>
      <c r="BI8" s="710"/>
      <c r="BJ8" s="710"/>
      <c r="BK8" s="711"/>
      <c r="BL8" s="46"/>
      <c r="BM8" s="712" t="s">
        <v>40</v>
      </c>
      <c r="BN8" s="86" t="s">
        <v>178</v>
      </c>
      <c r="BO8" s="713" t="s">
        <v>142</v>
      </c>
      <c r="BP8" s="713" t="s">
        <v>191</v>
      </c>
      <c r="BQ8" s="713"/>
      <c r="BR8" s="713"/>
      <c r="BS8" s="713"/>
      <c r="BT8" s="713"/>
      <c r="BU8" s="713"/>
      <c r="BV8" s="713"/>
      <c r="BW8" s="713"/>
      <c r="BX8" s="713"/>
      <c r="BY8" s="714"/>
      <c r="BZ8" s="46"/>
      <c r="CA8" s="715" t="s">
        <v>40</v>
      </c>
      <c r="CB8" s="87" t="s">
        <v>178</v>
      </c>
      <c r="CC8" s="696" t="s">
        <v>142</v>
      </c>
      <c r="CD8" s="696" t="s">
        <v>191</v>
      </c>
      <c r="CE8" s="696"/>
      <c r="CF8" s="696"/>
      <c r="CG8" s="696"/>
      <c r="CH8" s="696"/>
      <c r="CI8" s="696"/>
      <c r="CJ8" s="696"/>
      <c r="CK8" s="696"/>
      <c r="CL8" s="696"/>
      <c r="CM8" s="697"/>
      <c r="CN8" s="16"/>
      <c r="CO8" s="756" t="s">
        <v>40</v>
      </c>
      <c r="CP8" s="82" t="s">
        <v>178</v>
      </c>
      <c r="CQ8" s="757" t="s">
        <v>142</v>
      </c>
      <c r="CR8" s="757" t="s">
        <v>191</v>
      </c>
      <c r="CS8" s="757"/>
      <c r="CT8" s="757"/>
      <c r="CU8" s="757"/>
      <c r="CV8" s="757"/>
      <c r="CW8" s="757"/>
      <c r="CX8" s="757"/>
      <c r="CY8" s="757"/>
      <c r="CZ8" s="757"/>
      <c r="DA8" s="758"/>
      <c r="DB8" s="46"/>
      <c r="DC8" s="759" t="s">
        <v>40</v>
      </c>
      <c r="DD8" s="83" t="s">
        <v>178</v>
      </c>
      <c r="DE8" s="760" t="s">
        <v>142</v>
      </c>
      <c r="DF8" s="760" t="s">
        <v>191</v>
      </c>
      <c r="DG8" s="760"/>
      <c r="DH8" s="760"/>
      <c r="DI8" s="760"/>
      <c r="DJ8" s="760"/>
      <c r="DK8" s="760"/>
      <c r="DL8" s="760"/>
      <c r="DM8" s="760"/>
      <c r="DN8" s="760"/>
      <c r="DO8" s="761"/>
      <c r="DP8" s="46"/>
      <c r="DQ8" s="716" t="s">
        <v>40</v>
      </c>
      <c r="DR8" s="84" t="s">
        <v>178</v>
      </c>
      <c r="DS8" s="717" t="s">
        <v>142</v>
      </c>
      <c r="DT8" s="717" t="s">
        <v>191</v>
      </c>
      <c r="DU8" s="717"/>
      <c r="DV8" s="717"/>
      <c r="DW8" s="717"/>
      <c r="DX8" s="717"/>
      <c r="DY8" s="717"/>
      <c r="DZ8" s="717"/>
      <c r="EA8" s="717"/>
      <c r="EB8" s="717"/>
      <c r="EC8" s="718"/>
      <c r="ED8" s="46"/>
      <c r="EE8" s="719" t="s">
        <v>40</v>
      </c>
      <c r="EF8" s="85" t="s">
        <v>178</v>
      </c>
      <c r="EG8" s="710" t="s">
        <v>142</v>
      </c>
      <c r="EH8" s="710" t="s">
        <v>191</v>
      </c>
      <c r="EI8" s="710"/>
      <c r="EJ8" s="710"/>
      <c r="EK8" s="710"/>
      <c r="EL8" s="710"/>
      <c r="EM8" s="710"/>
      <c r="EN8" s="710"/>
      <c r="EO8" s="710"/>
      <c r="EP8" s="710"/>
      <c r="EQ8" s="711"/>
      <c r="ER8" s="46"/>
      <c r="ES8" s="712" t="s">
        <v>40</v>
      </c>
      <c r="ET8" s="86" t="s">
        <v>178</v>
      </c>
      <c r="EU8" s="713" t="s">
        <v>142</v>
      </c>
      <c r="EV8" s="713" t="s">
        <v>191</v>
      </c>
      <c r="EW8" s="713"/>
      <c r="EX8" s="713"/>
      <c r="EY8" s="713"/>
      <c r="EZ8" s="713"/>
      <c r="FA8" s="713"/>
      <c r="FB8" s="713"/>
      <c r="FC8" s="713"/>
      <c r="FD8" s="713"/>
      <c r="FE8" s="714"/>
      <c r="FF8" s="46"/>
      <c r="FG8" s="715" t="s">
        <v>40</v>
      </c>
      <c r="FH8" s="87" t="s">
        <v>178</v>
      </c>
      <c r="FI8" s="696" t="s">
        <v>142</v>
      </c>
      <c r="FJ8" s="696" t="s">
        <v>191</v>
      </c>
      <c r="FK8" s="696"/>
      <c r="FL8" s="696"/>
      <c r="FM8" s="696"/>
      <c r="FN8" s="696"/>
      <c r="FO8" s="696"/>
      <c r="FP8" s="696"/>
      <c r="FQ8" s="696"/>
      <c r="FR8" s="696"/>
      <c r="FS8" s="697"/>
      <c r="FT8" s="46"/>
    </row>
    <row r="9" spans="6:176" ht="20.100000000000001" customHeight="1" x14ac:dyDescent="0.25">
      <c r="H9" s="16"/>
      <c r="I9" s="756"/>
      <c r="J9" s="88" t="s">
        <v>190</v>
      </c>
      <c r="K9" s="757"/>
      <c r="L9" s="757"/>
      <c r="M9" s="757"/>
      <c r="N9" s="757"/>
      <c r="O9" s="757"/>
      <c r="P9" s="757"/>
      <c r="Q9" s="757"/>
      <c r="R9" s="757"/>
      <c r="S9" s="757"/>
      <c r="T9" s="757"/>
      <c r="U9" s="758"/>
      <c r="V9" s="46"/>
      <c r="W9" s="759"/>
      <c r="X9" s="89" t="s">
        <v>190</v>
      </c>
      <c r="Y9" s="760"/>
      <c r="Z9" s="760"/>
      <c r="AA9" s="760"/>
      <c r="AB9" s="760"/>
      <c r="AC9" s="760"/>
      <c r="AD9" s="760"/>
      <c r="AE9" s="760"/>
      <c r="AF9" s="760"/>
      <c r="AG9" s="760"/>
      <c r="AH9" s="760"/>
      <c r="AI9" s="761"/>
      <c r="AJ9" s="46"/>
      <c r="AK9" s="716"/>
      <c r="AL9" s="90" t="s">
        <v>190</v>
      </c>
      <c r="AM9" s="717"/>
      <c r="AN9" s="717"/>
      <c r="AO9" s="717"/>
      <c r="AP9" s="717"/>
      <c r="AQ9" s="717"/>
      <c r="AR9" s="717"/>
      <c r="AS9" s="717"/>
      <c r="AT9" s="717"/>
      <c r="AU9" s="717"/>
      <c r="AV9" s="717"/>
      <c r="AW9" s="718"/>
      <c r="AX9" s="46"/>
      <c r="AY9" s="719"/>
      <c r="AZ9" s="91" t="s">
        <v>190</v>
      </c>
      <c r="BA9" s="710"/>
      <c r="BB9" s="710"/>
      <c r="BC9" s="710"/>
      <c r="BD9" s="710"/>
      <c r="BE9" s="710"/>
      <c r="BF9" s="710"/>
      <c r="BG9" s="710"/>
      <c r="BH9" s="710"/>
      <c r="BI9" s="710"/>
      <c r="BJ9" s="710"/>
      <c r="BK9" s="711"/>
      <c r="BL9" s="46"/>
      <c r="BM9" s="712"/>
      <c r="BN9" s="92" t="s">
        <v>190</v>
      </c>
      <c r="BO9" s="713"/>
      <c r="BP9" s="713"/>
      <c r="BQ9" s="713"/>
      <c r="BR9" s="713"/>
      <c r="BS9" s="713"/>
      <c r="BT9" s="713"/>
      <c r="BU9" s="713"/>
      <c r="BV9" s="713"/>
      <c r="BW9" s="713"/>
      <c r="BX9" s="713"/>
      <c r="BY9" s="714"/>
      <c r="BZ9" s="46"/>
      <c r="CA9" s="715"/>
      <c r="CB9" s="93" t="s">
        <v>190</v>
      </c>
      <c r="CC9" s="696"/>
      <c r="CD9" s="696"/>
      <c r="CE9" s="696"/>
      <c r="CF9" s="696"/>
      <c r="CG9" s="696"/>
      <c r="CH9" s="696"/>
      <c r="CI9" s="696"/>
      <c r="CJ9" s="696"/>
      <c r="CK9" s="696"/>
      <c r="CL9" s="696"/>
      <c r="CM9" s="697"/>
      <c r="CN9" s="16"/>
      <c r="CO9" s="756"/>
      <c r="CP9" s="88" t="s">
        <v>190</v>
      </c>
      <c r="CQ9" s="757"/>
      <c r="CR9" s="757"/>
      <c r="CS9" s="757"/>
      <c r="CT9" s="757"/>
      <c r="CU9" s="757"/>
      <c r="CV9" s="757"/>
      <c r="CW9" s="757"/>
      <c r="CX9" s="757"/>
      <c r="CY9" s="757"/>
      <c r="CZ9" s="757"/>
      <c r="DA9" s="758"/>
      <c r="DB9" s="46"/>
      <c r="DC9" s="759"/>
      <c r="DD9" s="89" t="s">
        <v>190</v>
      </c>
      <c r="DE9" s="760"/>
      <c r="DF9" s="760"/>
      <c r="DG9" s="760"/>
      <c r="DH9" s="760"/>
      <c r="DI9" s="760"/>
      <c r="DJ9" s="760"/>
      <c r="DK9" s="760"/>
      <c r="DL9" s="760"/>
      <c r="DM9" s="760"/>
      <c r="DN9" s="760"/>
      <c r="DO9" s="761"/>
      <c r="DP9" s="46"/>
      <c r="DQ9" s="716"/>
      <c r="DR9" s="90" t="s">
        <v>190</v>
      </c>
      <c r="DS9" s="717"/>
      <c r="DT9" s="717"/>
      <c r="DU9" s="717"/>
      <c r="DV9" s="717"/>
      <c r="DW9" s="717"/>
      <c r="DX9" s="717"/>
      <c r="DY9" s="717"/>
      <c r="DZ9" s="717"/>
      <c r="EA9" s="717"/>
      <c r="EB9" s="717"/>
      <c r="EC9" s="718"/>
      <c r="ED9" s="46"/>
      <c r="EE9" s="719"/>
      <c r="EF9" s="91" t="s">
        <v>190</v>
      </c>
      <c r="EG9" s="710"/>
      <c r="EH9" s="710"/>
      <c r="EI9" s="710"/>
      <c r="EJ9" s="710"/>
      <c r="EK9" s="710"/>
      <c r="EL9" s="710"/>
      <c r="EM9" s="710"/>
      <c r="EN9" s="710"/>
      <c r="EO9" s="710"/>
      <c r="EP9" s="710"/>
      <c r="EQ9" s="711"/>
      <c r="ER9" s="46"/>
      <c r="ES9" s="712"/>
      <c r="ET9" s="92" t="s">
        <v>190</v>
      </c>
      <c r="EU9" s="713"/>
      <c r="EV9" s="713"/>
      <c r="EW9" s="713"/>
      <c r="EX9" s="713"/>
      <c r="EY9" s="713"/>
      <c r="EZ9" s="713"/>
      <c r="FA9" s="713"/>
      <c r="FB9" s="713"/>
      <c r="FC9" s="713"/>
      <c r="FD9" s="713"/>
      <c r="FE9" s="714"/>
      <c r="FF9" s="46"/>
      <c r="FG9" s="715"/>
      <c r="FH9" s="93" t="s">
        <v>190</v>
      </c>
      <c r="FI9" s="696"/>
      <c r="FJ9" s="696"/>
      <c r="FK9" s="696"/>
      <c r="FL9" s="696"/>
      <c r="FM9" s="696"/>
      <c r="FN9" s="696"/>
      <c r="FO9" s="696"/>
      <c r="FP9" s="696"/>
      <c r="FQ9" s="696"/>
      <c r="FR9" s="696"/>
      <c r="FS9" s="697"/>
      <c r="FT9" s="46"/>
    </row>
    <row r="10" spans="6:176" ht="20.100000000000001" customHeight="1" x14ac:dyDescent="0.25">
      <c r="F10" s="3">
        <v>1</v>
      </c>
      <c r="H10" s="16"/>
      <c r="I10" s="94">
        <f>IF(J10&gt;=1000,I5+1,0)</f>
        <v>0</v>
      </c>
      <c r="J10" s="120"/>
      <c r="K10" s="95" t="str">
        <f>IF(I10&gt;=1,WEEKDAY(J10),"")</f>
        <v/>
      </c>
      <c r="L10" s="698"/>
      <c r="M10" s="698"/>
      <c r="N10" s="698"/>
      <c r="O10" s="698"/>
      <c r="P10" s="698"/>
      <c r="Q10" s="698"/>
      <c r="R10" s="698"/>
      <c r="S10" s="698"/>
      <c r="T10" s="698"/>
      <c r="U10" s="699"/>
      <c r="V10" s="96"/>
      <c r="W10" s="97">
        <f>IF(X10&gt;=1000,W5+1,0)</f>
        <v>0</v>
      </c>
      <c r="X10" s="121"/>
      <c r="Y10" s="98" t="str">
        <f>IF(W10&gt;=1,WEEKDAY(X10),"")</f>
        <v/>
      </c>
      <c r="Z10" s="700"/>
      <c r="AA10" s="700"/>
      <c r="AB10" s="700"/>
      <c r="AC10" s="700"/>
      <c r="AD10" s="700"/>
      <c r="AE10" s="700"/>
      <c r="AF10" s="700"/>
      <c r="AG10" s="700"/>
      <c r="AH10" s="700"/>
      <c r="AI10" s="701"/>
      <c r="AJ10" s="96"/>
      <c r="AK10" s="99">
        <f>IF(AL10&gt;=1000,AK5+1,0)</f>
        <v>0</v>
      </c>
      <c r="AL10" s="122"/>
      <c r="AM10" s="100" t="str">
        <f>IF(AK10&gt;=1,WEEKDAY(AL10),"")</f>
        <v/>
      </c>
      <c r="AN10" s="702"/>
      <c r="AO10" s="702"/>
      <c r="AP10" s="702"/>
      <c r="AQ10" s="702"/>
      <c r="AR10" s="702"/>
      <c r="AS10" s="702"/>
      <c r="AT10" s="702"/>
      <c r="AU10" s="702"/>
      <c r="AV10" s="702"/>
      <c r="AW10" s="703"/>
      <c r="AX10" s="96"/>
      <c r="AY10" s="101">
        <f>IF(AZ10&gt;=1000,AY5+1,0)</f>
        <v>0</v>
      </c>
      <c r="AZ10" s="123"/>
      <c r="BA10" s="102" t="str">
        <f>IF(AY10&gt;=1,WEEKDAY(AZ10),"")</f>
        <v/>
      </c>
      <c r="BB10" s="704"/>
      <c r="BC10" s="704"/>
      <c r="BD10" s="704"/>
      <c r="BE10" s="704"/>
      <c r="BF10" s="704"/>
      <c r="BG10" s="704"/>
      <c r="BH10" s="704"/>
      <c r="BI10" s="704"/>
      <c r="BJ10" s="704"/>
      <c r="BK10" s="705"/>
      <c r="BL10" s="96"/>
      <c r="BM10" s="103">
        <f>IF(BN10&gt;=1000,BM5+1,0)</f>
        <v>0</v>
      </c>
      <c r="BN10" s="124"/>
      <c r="BO10" s="104" t="str">
        <f>IF(BM10&gt;=1,WEEKDAY(BN10),"")</f>
        <v/>
      </c>
      <c r="BP10" s="706"/>
      <c r="BQ10" s="706"/>
      <c r="BR10" s="706"/>
      <c r="BS10" s="706"/>
      <c r="BT10" s="706"/>
      <c r="BU10" s="706"/>
      <c r="BV10" s="706"/>
      <c r="BW10" s="706"/>
      <c r="BX10" s="706"/>
      <c r="BY10" s="707"/>
      <c r="BZ10" s="96"/>
      <c r="CA10" s="105">
        <f>IF(CB10&gt;=1000,CA5+1,0)</f>
        <v>0</v>
      </c>
      <c r="CB10" s="125"/>
      <c r="CC10" s="106" t="str">
        <f>IF(CA10&gt;=1,WEEKDAY(CB10),"")</f>
        <v/>
      </c>
      <c r="CD10" s="708"/>
      <c r="CE10" s="708"/>
      <c r="CF10" s="708"/>
      <c r="CG10" s="708"/>
      <c r="CH10" s="708"/>
      <c r="CI10" s="708"/>
      <c r="CJ10" s="708"/>
      <c r="CK10" s="708"/>
      <c r="CL10" s="708"/>
      <c r="CM10" s="709"/>
      <c r="CN10" s="107"/>
      <c r="CO10" s="94">
        <f>IF(CP10&gt;=1000,CO5+1,0)</f>
        <v>0</v>
      </c>
      <c r="CP10" s="120"/>
      <c r="CQ10" s="95" t="str">
        <f>IF(CO10&gt;=1,WEEKDAY(CP10),"")</f>
        <v/>
      </c>
      <c r="CR10" s="698"/>
      <c r="CS10" s="698"/>
      <c r="CT10" s="698"/>
      <c r="CU10" s="698"/>
      <c r="CV10" s="698"/>
      <c r="CW10" s="698"/>
      <c r="CX10" s="698"/>
      <c r="CY10" s="698"/>
      <c r="CZ10" s="698"/>
      <c r="DA10" s="699"/>
      <c r="DB10" s="96"/>
      <c r="DC10" s="97">
        <f>IF(DD10&gt;=1000,DC5+1,0)</f>
        <v>0</v>
      </c>
      <c r="DD10" s="121"/>
      <c r="DE10" s="98" t="str">
        <f>IF(DC10&gt;=1,WEEKDAY(DD10),"")</f>
        <v/>
      </c>
      <c r="DF10" s="700"/>
      <c r="DG10" s="700"/>
      <c r="DH10" s="700"/>
      <c r="DI10" s="700"/>
      <c r="DJ10" s="700"/>
      <c r="DK10" s="700"/>
      <c r="DL10" s="700"/>
      <c r="DM10" s="700"/>
      <c r="DN10" s="700"/>
      <c r="DO10" s="701"/>
      <c r="DP10" s="96"/>
      <c r="DQ10" s="99">
        <f>IF(DR10&gt;=1000,DQ5+1,0)</f>
        <v>0</v>
      </c>
      <c r="DR10" s="122"/>
      <c r="DS10" s="100" t="str">
        <f>IF(DQ10&gt;=1,WEEKDAY(DR10),"")</f>
        <v/>
      </c>
      <c r="DT10" s="702"/>
      <c r="DU10" s="702"/>
      <c r="DV10" s="702"/>
      <c r="DW10" s="702"/>
      <c r="DX10" s="702"/>
      <c r="DY10" s="702"/>
      <c r="DZ10" s="702"/>
      <c r="EA10" s="702"/>
      <c r="EB10" s="702"/>
      <c r="EC10" s="703"/>
      <c r="ED10" s="96"/>
      <c r="EE10" s="101">
        <f>IF(EF10&gt;=1000,EE5+1,0)</f>
        <v>0</v>
      </c>
      <c r="EF10" s="123"/>
      <c r="EG10" s="102" t="str">
        <f>IF(EE10&gt;=1,WEEKDAY(EF10),"")</f>
        <v/>
      </c>
      <c r="EH10" s="704"/>
      <c r="EI10" s="704"/>
      <c r="EJ10" s="704"/>
      <c r="EK10" s="704"/>
      <c r="EL10" s="704"/>
      <c r="EM10" s="704"/>
      <c r="EN10" s="704"/>
      <c r="EO10" s="704"/>
      <c r="EP10" s="704"/>
      <c r="EQ10" s="705"/>
      <c r="ER10" s="96"/>
      <c r="ES10" s="103">
        <f>IF(ET10&gt;=1000,ES5+1,0)</f>
        <v>0</v>
      </c>
      <c r="ET10" s="124"/>
      <c r="EU10" s="104" t="str">
        <f>IF(ES10&gt;=1,WEEKDAY(ET10),"")</f>
        <v/>
      </c>
      <c r="EV10" s="706"/>
      <c r="EW10" s="706"/>
      <c r="EX10" s="706"/>
      <c r="EY10" s="706"/>
      <c r="EZ10" s="706"/>
      <c r="FA10" s="706"/>
      <c r="FB10" s="706"/>
      <c r="FC10" s="706"/>
      <c r="FD10" s="706"/>
      <c r="FE10" s="707"/>
      <c r="FF10" s="96"/>
      <c r="FG10" s="105">
        <f>IF(FH10&gt;=1000,FG5+1,0)</f>
        <v>0</v>
      </c>
      <c r="FH10" s="125"/>
      <c r="FI10" s="106" t="str">
        <f>IF(FG10&gt;=1,WEEKDAY(FH10),"")</f>
        <v/>
      </c>
      <c r="FJ10" s="708"/>
      <c r="FK10" s="708"/>
      <c r="FL10" s="708"/>
      <c r="FM10" s="708"/>
      <c r="FN10" s="708"/>
      <c r="FO10" s="708"/>
      <c r="FP10" s="708"/>
      <c r="FQ10" s="708"/>
      <c r="FR10" s="708"/>
      <c r="FS10" s="709"/>
      <c r="FT10" s="107"/>
    </row>
    <row r="11" spans="6:176" ht="20.100000000000001" customHeight="1" x14ac:dyDescent="0.25">
      <c r="F11" s="3">
        <v>2</v>
      </c>
      <c r="H11" s="16"/>
      <c r="I11" s="94">
        <f>IF(J11&gt;=1000,I10+1,0)</f>
        <v>0</v>
      </c>
      <c r="J11" s="120"/>
      <c r="K11" s="95" t="str">
        <f t="shared" ref="K11:K40" si="0">IF(I11&gt;=1,WEEKDAY(J11),"")</f>
        <v/>
      </c>
      <c r="L11" s="690" t="s">
        <v>302</v>
      </c>
      <c r="M11" s="691"/>
      <c r="N11" s="691"/>
      <c r="O11" s="691"/>
      <c r="P11" s="691"/>
      <c r="Q11" s="691"/>
      <c r="R11" s="691"/>
      <c r="S11" s="691"/>
      <c r="T11" s="691"/>
      <c r="U11" s="692"/>
      <c r="V11" s="96"/>
      <c r="W11" s="97">
        <f>IF(X11&gt;=1000,W10+1,0)</f>
        <v>0</v>
      </c>
      <c r="X11" s="121"/>
      <c r="Y11" s="98" t="str">
        <f t="shared" ref="Y11:Y40" si="1">IF(W11&gt;=1,WEEKDAY(X11),"")</f>
        <v/>
      </c>
      <c r="Z11" s="693"/>
      <c r="AA11" s="694"/>
      <c r="AB11" s="694"/>
      <c r="AC11" s="694"/>
      <c r="AD11" s="694"/>
      <c r="AE11" s="694"/>
      <c r="AF11" s="694"/>
      <c r="AG11" s="694"/>
      <c r="AH11" s="694"/>
      <c r="AI11" s="695"/>
      <c r="AJ11" s="96"/>
      <c r="AK11" s="99">
        <f>IF(AL11&gt;=1000,AK10+1,0)</f>
        <v>0</v>
      </c>
      <c r="AL11" s="122"/>
      <c r="AM11" s="100" t="str">
        <f t="shared" ref="AM11:AM40" si="2">IF(AK11&gt;=1,WEEKDAY(AL11),"")</f>
        <v/>
      </c>
      <c r="AN11" s="678"/>
      <c r="AO11" s="679"/>
      <c r="AP11" s="679"/>
      <c r="AQ11" s="679"/>
      <c r="AR11" s="679"/>
      <c r="AS11" s="679"/>
      <c r="AT11" s="679"/>
      <c r="AU11" s="679"/>
      <c r="AV11" s="679"/>
      <c r="AW11" s="680"/>
      <c r="AX11" s="96"/>
      <c r="AY11" s="101">
        <f>IF(AZ11&gt;=1000,AY10+1,0)</f>
        <v>0</v>
      </c>
      <c r="AZ11" s="424"/>
      <c r="BA11" s="102" t="str">
        <f t="shared" ref="BA11:BA40" si="3">IF(AY11&gt;=1,WEEKDAY(AZ11),"")</f>
        <v/>
      </c>
      <c r="BB11" s="681"/>
      <c r="BC11" s="682"/>
      <c r="BD11" s="682"/>
      <c r="BE11" s="682"/>
      <c r="BF11" s="682"/>
      <c r="BG11" s="682"/>
      <c r="BH11" s="682"/>
      <c r="BI11" s="682"/>
      <c r="BJ11" s="682"/>
      <c r="BK11" s="683"/>
      <c r="BL11" s="96"/>
      <c r="BM11" s="103">
        <f>IF(BN11&gt;=1000,BM10+1,0)</f>
        <v>0</v>
      </c>
      <c r="BN11" s="426"/>
      <c r="BO11" s="104" t="str">
        <f t="shared" ref="BO11:BO40" si="4">IF(BM11&gt;=1,WEEKDAY(BN11),"")</f>
        <v/>
      </c>
      <c r="BP11" s="684"/>
      <c r="BQ11" s="685"/>
      <c r="BR11" s="685"/>
      <c r="BS11" s="685"/>
      <c r="BT11" s="685"/>
      <c r="BU11" s="685"/>
      <c r="BV11" s="685"/>
      <c r="BW11" s="685"/>
      <c r="BX11" s="685"/>
      <c r="BY11" s="686"/>
      <c r="BZ11" s="96"/>
      <c r="CA11" s="105">
        <f>IF(CB11&gt;=1000,CA10+1,0)</f>
        <v>0</v>
      </c>
      <c r="CB11" s="429"/>
      <c r="CC11" s="106" t="str">
        <f t="shared" ref="CC11:CC40" si="5">IF(CA11&gt;=1,WEEKDAY(CB11),"")</f>
        <v/>
      </c>
      <c r="CD11" s="687"/>
      <c r="CE11" s="688"/>
      <c r="CF11" s="688"/>
      <c r="CG11" s="688"/>
      <c r="CH11" s="688"/>
      <c r="CI11" s="688"/>
      <c r="CJ11" s="688"/>
      <c r="CK11" s="688"/>
      <c r="CL11" s="688"/>
      <c r="CM11" s="689"/>
      <c r="CN11" s="107"/>
      <c r="CO11" s="94">
        <f>IF(CP11&gt;=1000,CO10+1,0)</f>
        <v>0</v>
      </c>
      <c r="CP11" s="120"/>
      <c r="CQ11" s="95" t="str">
        <f t="shared" ref="CQ11:CQ40" si="6">IF(CO11&gt;=1,WEEKDAY(CP11),"")</f>
        <v/>
      </c>
      <c r="CR11" s="690"/>
      <c r="CS11" s="691"/>
      <c r="CT11" s="691"/>
      <c r="CU11" s="691"/>
      <c r="CV11" s="691"/>
      <c r="CW11" s="691"/>
      <c r="CX11" s="691"/>
      <c r="CY11" s="691"/>
      <c r="CZ11" s="691"/>
      <c r="DA11" s="692"/>
      <c r="DB11" s="96"/>
      <c r="DC11" s="97">
        <f>IF(DD11&gt;=1000,DC10+1,0)</f>
        <v>0</v>
      </c>
      <c r="DD11" s="121"/>
      <c r="DE11" s="98" t="str">
        <f t="shared" ref="DE11:DE40" si="7">IF(DC11&gt;=1,WEEKDAY(DD11),"")</f>
        <v/>
      </c>
      <c r="DF11" s="693"/>
      <c r="DG11" s="694"/>
      <c r="DH11" s="694"/>
      <c r="DI11" s="694"/>
      <c r="DJ11" s="694"/>
      <c r="DK11" s="694"/>
      <c r="DL11" s="694"/>
      <c r="DM11" s="694"/>
      <c r="DN11" s="694"/>
      <c r="DO11" s="695"/>
      <c r="DP11" s="96"/>
      <c r="DQ11" s="99">
        <f>IF(DR11&gt;=1000,DQ10+1,0)</f>
        <v>0</v>
      </c>
      <c r="DR11" s="122"/>
      <c r="DS11" s="100" t="str">
        <f t="shared" ref="DS11:DS40" si="8">IF(DQ11&gt;=1,WEEKDAY(DR11),"")</f>
        <v/>
      </c>
      <c r="DT11" s="678"/>
      <c r="DU11" s="679"/>
      <c r="DV11" s="679"/>
      <c r="DW11" s="679"/>
      <c r="DX11" s="679"/>
      <c r="DY11" s="679"/>
      <c r="DZ11" s="679"/>
      <c r="EA11" s="679"/>
      <c r="EB11" s="679"/>
      <c r="EC11" s="680"/>
      <c r="ED11" s="96"/>
      <c r="EE11" s="101">
        <f>IF(EF11&gt;=1000,EE10+1,0)</f>
        <v>0</v>
      </c>
      <c r="EF11" s="424"/>
      <c r="EG11" s="102" t="str">
        <f t="shared" ref="EG11:EG40" si="9">IF(EE11&gt;=1,WEEKDAY(EF11),"")</f>
        <v/>
      </c>
      <c r="EH11" s="681"/>
      <c r="EI11" s="682"/>
      <c r="EJ11" s="682"/>
      <c r="EK11" s="682"/>
      <c r="EL11" s="682"/>
      <c r="EM11" s="682"/>
      <c r="EN11" s="682"/>
      <c r="EO11" s="682"/>
      <c r="EP11" s="682"/>
      <c r="EQ11" s="683"/>
      <c r="ER11" s="96"/>
      <c r="ES11" s="103">
        <f>IF(ET11&gt;=1000,ES10+1,0)</f>
        <v>0</v>
      </c>
      <c r="ET11" s="426"/>
      <c r="EU11" s="104" t="str">
        <f t="shared" ref="EU11:EU40" si="10">IF(ES11&gt;=1,WEEKDAY(ET11),"")</f>
        <v/>
      </c>
      <c r="EV11" s="684"/>
      <c r="EW11" s="685"/>
      <c r="EX11" s="685"/>
      <c r="EY11" s="685"/>
      <c r="EZ11" s="685"/>
      <c r="FA11" s="685"/>
      <c r="FB11" s="685"/>
      <c r="FC11" s="685"/>
      <c r="FD11" s="685"/>
      <c r="FE11" s="686"/>
      <c r="FF11" s="96"/>
      <c r="FG11" s="105">
        <f>IF(FH11&gt;=1000,FG10+1,0)</f>
        <v>0</v>
      </c>
      <c r="FH11" s="429"/>
      <c r="FI11" s="106" t="str">
        <f t="shared" ref="FI11:FI40" si="11">IF(FG11&gt;=1,WEEKDAY(FH11),"")</f>
        <v/>
      </c>
      <c r="FJ11" s="687"/>
      <c r="FK11" s="688"/>
      <c r="FL11" s="688"/>
      <c r="FM11" s="688"/>
      <c r="FN11" s="688"/>
      <c r="FO11" s="688"/>
      <c r="FP11" s="688"/>
      <c r="FQ11" s="688"/>
      <c r="FR11" s="688"/>
      <c r="FS11" s="689"/>
      <c r="FT11" s="107"/>
    </row>
    <row r="12" spans="6:176" ht="20.100000000000001" customHeight="1" x14ac:dyDescent="0.25">
      <c r="F12" s="3">
        <v>3</v>
      </c>
      <c r="H12" s="16"/>
      <c r="I12" s="94">
        <f t="shared" ref="I12:I40" si="12">IF(J12&gt;=1000,I11+1,0)</f>
        <v>0</v>
      </c>
      <c r="J12" s="120"/>
      <c r="K12" s="95" t="str">
        <f t="shared" si="0"/>
        <v/>
      </c>
      <c r="L12" s="690"/>
      <c r="M12" s="691"/>
      <c r="N12" s="691"/>
      <c r="O12" s="691"/>
      <c r="P12" s="691"/>
      <c r="Q12" s="691"/>
      <c r="R12" s="691"/>
      <c r="S12" s="691"/>
      <c r="T12" s="691"/>
      <c r="U12" s="692"/>
      <c r="V12" s="96"/>
      <c r="W12" s="97">
        <f t="shared" ref="W12:W40" si="13">IF(X12&gt;=1000,W11+1,0)</f>
        <v>0</v>
      </c>
      <c r="X12" s="121"/>
      <c r="Y12" s="98" t="str">
        <f t="shared" si="1"/>
        <v/>
      </c>
      <c r="Z12" s="693"/>
      <c r="AA12" s="694"/>
      <c r="AB12" s="694"/>
      <c r="AC12" s="694"/>
      <c r="AD12" s="694"/>
      <c r="AE12" s="694"/>
      <c r="AF12" s="694"/>
      <c r="AG12" s="694"/>
      <c r="AH12" s="694"/>
      <c r="AI12" s="695"/>
      <c r="AJ12" s="96"/>
      <c r="AK12" s="99">
        <f t="shared" ref="AK12:AK40" si="14">IF(AL12&gt;=1000,AK11+1,0)</f>
        <v>0</v>
      </c>
      <c r="AL12" s="122"/>
      <c r="AM12" s="100" t="str">
        <f t="shared" si="2"/>
        <v/>
      </c>
      <c r="AN12" s="678"/>
      <c r="AO12" s="679"/>
      <c r="AP12" s="679"/>
      <c r="AQ12" s="679"/>
      <c r="AR12" s="679"/>
      <c r="AS12" s="679"/>
      <c r="AT12" s="679"/>
      <c r="AU12" s="679"/>
      <c r="AV12" s="679"/>
      <c r="AW12" s="680"/>
      <c r="AX12" s="96"/>
      <c r="AY12" s="101">
        <f t="shared" ref="AY12:AY40" si="15">IF(AZ12&gt;=1000,AY11+1,0)</f>
        <v>0</v>
      </c>
      <c r="AZ12" s="424"/>
      <c r="BA12" s="102" t="str">
        <f t="shared" si="3"/>
        <v/>
      </c>
      <c r="BB12" s="681"/>
      <c r="BC12" s="682"/>
      <c r="BD12" s="682"/>
      <c r="BE12" s="682"/>
      <c r="BF12" s="682"/>
      <c r="BG12" s="682"/>
      <c r="BH12" s="682"/>
      <c r="BI12" s="682"/>
      <c r="BJ12" s="682"/>
      <c r="BK12" s="683"/>
      <c r="BL12" s="96"/>
      <c r="BM12" s="103">
        <f t="shared" ref="BM12:BM40" si="16">IF(BN12&gt;=1000,BM11+1,0)</f>
        <v>0</v>
      </c>
      <c r="BN12" s="426"/>
      <c r="BO12" s="104" t="str">
        <f t="shared" si="4"/>
        <v/>
      </c>
      <c r="BP12" s="684"/>
      <c r="BQ12" s="685"/>
      <c r="BR12" s="685"/>
      <c r="BS12" s="685"/>
      <c r="BT12" s="685"/>
      <c r="BU12" s="685"/>
      <c r="BV12" s="685"/>
      <c r="BW12" s="685"/>
      <c r="BX12" s="685"/>
      <c r="BY12" s="686"/>
      <c r="BZ12" s="96"/>
      <c r="CA12" s="105">
        <f t="shared" ref="CA12:CA40" si="17">IF(CB12&gt;=1000,CA11+1,0)</f>
        <v>0</v>
      </c>
      <c r="CB12" s="429"/>
      <c r="CC12" s="106" t="str">
        <f t="shared" si="5"/>
        <v/>
      </c>
      <c r="CD12" s="687"/>
      <c r="CE12" s="688"/>
      <c r="CF12" s="688"/>
      <c r="CG12" s="688"/>
      <c r="CH12" s="688"/>
      <c r="CI12" s="688"/>
      <c r="CJ12" s="688"/>
      <c r="CK12" s="688"/>
      <c r="CL12" s="688"/>
      <c r="CM12" s="689"/>
      <c r="CN12" s="107"/>
      <c r="CO12" s="94">
        <f t="shared" ref="CO12:CO40" si="18">IF(CP12&gt;=1000,CO11+1,0)</f>
        <v>0</v>
      </c>
      <c r="CP12" s="120"/>
      <c r="CQ12" s="95" t="str">
        <f t="shared" si="6"/>
        <v/>
      </c>
      <c r="CR12" s="690"/>
      <c r="CS12" s="691"/>
      <c r="CT12" s="691"/>
      <c r="CU12" s="691"/>
      <c r="CV12" s="691"/>
      <c r="CW12" s="691"/>
      <c r="CX12" s="691"/>
      <c r="CY12" s="691"/>
      <c r="CZ12" s="691"/>
      <c r="DA12" s="692"/>
      <c r="DB12" s="96"/>
      <c r="DC12" s="97">
        <f t="shared" ref="DC12:DC40" si="19">IF(DD12&gt;=1000,DC11+1,0)</f>
        <v>0</v>
      </c>
      <c r="DD12" s="121"/>
      <c r="DE12" s="98" t="str">
        <f t="shared" si="7"/>
        <v/>
      </c>
      <c r="DF12" s="693"/>
      <c r="DG12" s="694"/>
      <c r="DH12" s="694"/>
      <c r="DI12" s="694"/>
      <c r="DJ12" s="694"/>
      <c r="DK12" s="694"/>
      <c r="DL12" s="694"/>
      <c r="DM12" s="694"/>
      <c r="DN12" s="694"/>
      <c r="DO12" s="695"/>
      <c r="DP12" s="96"/>
      <c r="DQ12" s="99">
        <f t="shared" ref="DQ12:DQ40" si="20">IF(DR12&gt;=1000,DQ11+1,0)</f>
        <v>0</v>
      </c>
      <c r="DR12" s="122"/>
      <c r="DS12" s="100" t="str">
        <f t="shared" si="8"/>
        <v/>
      </c>
      <c r="DT12" s="678"/>
      <c r="DU12" s="679"/>
      <c r="DV12" s="679"/>
      <c r="DW12" s="679"/>
      <c r="DX12" s="679"/>
      <c r="DY12" s="679"/>
      <c r="DZ12" s="679"/>
      <c r="EA12" s="679"/>
      <c r="EB12" s="679"/>
      <c r="EC12" s="680"/>
      <c r="ED12" s="96"/>
      <c r="EE12" s="101">
        <f t="shared" ref="EE12:EE40" si="21">IF(EF12&gt;=1000,EE11+1,0)</f>
        <v>0</v>
      </c>
      <c r="EF12" s="424"/>
      <c r="EG12" s="102" t="str">
        <f t="shared" si="9"/>
        <v/>
      </c>
      <c r="EH12" s="681"/>
      <c r="EI12" s="682"/>
      <c r="EJ12" s="682"/>
      <c r="EK12" s="682"/>
      <c r="EL12" s="682"/>
      <c r="EM12" s="682"/>
      <c r="EN12" s="682"/>
      <c r="EO12" s="682"/>
      <c r="EP12" s="682"/>
      <c r="EQ12" s="683"/>
      <c r="ER12" s="96"/>
      <c r="ES12" s="103">
        <f t="shared" ref="ES12:ES40" si="22">IF(ET12&gt;=1000,ES11+1,0)</f>
        <v>0</v>
      </c>
      <c r="ET12" s="426"/>
      <c r="EU12" s="104" t="str">
        <f t="shared" si="10"/>
        <v/>
      </c>
      <c r="EV12" s="684"/>
      <c r="EW12" s="685"/>
      <c r="EX12" s="685"/>
      <c r="EY12" s="685"/>
      <c r="EZ12" s="685"/>
      <c r="FA12" s="685"/>
      <c r="FB12" s="685"/>
      <c r="FC12" s="685"/>
      <c r="FD12" s="685"/>
      <c r="FE12" s="686"/>
      <c r="FF12" s="96"/>
      <c r="FG12" s="105">
        <f t="shared" ref="FG12:FG40" si="23">IF(FH12&gt;=1000,FG11+1,0)</f>
        <v>0</v>
      </c>
      <c r="FH12" s="429"/>
      <c r="FI12" s="106" t="str">
        <f t="shared" si="11"/>
        <v/>
      </c>
      <c r="FJ12" s="687"/>
      <c r="FK12" s="688"/>
      <c r="FL12" s="688"/>
      <c r="FM12" s="688"/>
      <c r="FN12" s="688"/>
      <c r="FO12" s="688"/>
      <c r="FP12" s="688"/>
      <c r="FQ12" s="688"/>
      <c r="FR12" s="688"/>
      <c r="FS12" s="689"/>
      <c r="FT12" s="107"/>
    </row>
    <row r="13" spans="6:176" ht="20.100000000000001" customHeight="1" x14ac:dyDescent="0.25">
      <c r="F13" s="3">
        <v>4</v>
      </c>
      <c r="H13" s="16"/>
      <c r="I13" s="94">
        <f t="shared" si="12"/>
        <v>0</v>
      </c>
      <c r="J13" s="120"/>
      <c r="K13" s="95" t="str">
        <f t="shared" si="0"/>
        <v/>
      </c>
      <c r="L13" s="690"/>
      <c r="M13" s="691"/>
      <c r="N13" s="691"/>
      <c r="O13" s="691"/>
      <c r="P13" s="691"/>
      <c r="Q13" s="691"/>
      <c r="R13" s="691"/>
      <c r="S13" s="691"/>
      <c r="T13" s="691"/>
      <c r="U13" s="692"/>
      <c r="V13" s="96"/>
      <c r="W13" s="97">
        <f t="shared" si="13"/>
        <v>0</v>
      </c>
      <c r="X13" s="121"/>
      <c r="Y13" s="98" t="str">
        <f t="shared" si="1"/>
        <v/>
      </c>
      <c r="Z13" s="693"/>
      <c r="AA13" s="694"/>
      <c r="AB13" s="694"/>
      <c r="AC13" s="694"/>
      <c r="AD13" s="694"/>
      <c r="AE13" s="694"/>
      <c r="AF13" s="694"/>
      <c r="AG13" s="694"/>
      <c r="AH13" s="694"/>
      <c r="AI13" s="695"/>
      <c r="AJ13" s="96"/>
      <c r="AK13" s="99">
        <f t="shared" si="14"/>
        <v>0</v>
      </c>
      <c r="AL13" s="122"/>
      <c r="AM13" s="100" t="str">
        <f t="shared" si="2"/>
        <v/>
      </c>
      <c r="AN13" s="678"/>
      <c r="AO13" s="679"/>
      <c r="AP13" s="679"/>
      <c r="AQ13" s="679"/>
      <c r="AR13" s="679"/>
      <c r="AS13" s="679"/>
      <c r="AT13" s="679"/>
      <c r="AU13" s="679"/>
      <c r="AV13" s="679"/>
      <c r="AW13" s="680"/>
      <c r="AX13" s="96"/>
      <c r="AY13" s="101">
        <f t="shared" si="15"/>
        <v>0</v>
      </c>
      <c r="AZ13" s="424"/>
      <c r="BA13" s="102" t="str">
        <f t="shared" si="3"/>
        <v/>
      </c>
      <c r="BB13" s="681"/>
      <c r="BC13" s="682"/>
      <c r="BD13" s="682"/>
      <c r="BE13" s="682"/>
      <c r="BF13" s="682"/>
      <c r="BG13" s="682"/>
      <c r="BH13" s="682"/>
      <c r="BI13" s="682"/>
      <c r="BJ13" s="682"/>
      <c r="BK13" s="683"/>
      <c r="BL13" s="96"/>
      <c r="BM13" s="103">
        <f t="shared" si="16"/>
        <v>0</v>
      </c>
      <c r="BN13" s="426"/>
      <c r="BO13" s="104" t="str">
        <f t="shared" si="4"/>
        <v/>
      </c>
      <c r="BP13" s="684"/>
      <c r="BQ13" s="685"/>
      <c r="BR13" s="685"/>
      <c r="BS13" s="685"/>
      <c r="BT13" s="685"/>
      <c r="BU13" s="685"/>
      <c r="BV13" s="685"/>
      <c r="BW13" s="685"/>
      <c r="BX13" s="685"/>
      <c r="BY13" s="686"/>
      <c r="BZ13" s="96"/>
      <c r="CA13" s="105">
        <f t="shared" si="17"/>
        <v>0</v>
      </c>
      <c r="CB13" s="429"/>
      <c r="CC13" s="106" t="str">
        <f t="shared" si="5"/>
        <v/>
      </c>
      <c r="CD13" s="687"/>
      <c r="CE13" s="688"/>
      <c r="CF13" s="688"/>
      <c r="CG13" s="688"/>
      <c r="CH13" s="688"/>
      <c r="CI13" s="688"/>
      <c r="CJ13" s="688"/>
      <c r="CK13" s="688"/>
      <c r="CL13" s="688"/>
      <c r="CM13" s="689"/>
      <c r="CN13" s="107"/>
      <c r="CO13" s="94">
        <f t="shared" si="18"/>
        <v>0</v>
      </c>
      <c r="CP13" s="120"/>
      <c r="CQ13" s="95" t="str">
        <f t="shared" si="6"/>
        <v/>
      </c>
      <c r="CR13" s="690"/>
      <c r="CS13" s="691"/>
      <c r="CT13" s="691"/>
      <c r="CU13" s="691"/>
      <c r="CV13" s="691"/>
      <c r="CW13" s="691"/>
      <c r="CX13" s="691"/>
      <c r="CY13" s="691"/>
      <c r="CZ13" s="691"/>
      <c r="DA13" s="692"/>
      <c r="DB13" s="96"/>
      <c r="DC13" s="97">
        <f t="shared" si="19"/>
        <v>0</v>
      </c>
      <c r="DD13" s="121"/>
      <c r="DE13" s="98" t="str">
        <f t="shared" si="7"/>
        <v/>
      </c>
      <c r="DF13" s="693"/>
      <c r="DG13" s="694"/>
      <c r="DH13" s="694"/>
      <c r="DI13" s="694"/>
      <c r="DJ13" s="694"/>
      <c r="DK13" s="694"/>
      <c r="DL13" s="694"/>
      <c r="DM13" s="694"/>
      <c r="DN13" s="694"/>
      <c r="DO13" s="695"/>
      <c r="DP13" s="96"/>
      <c r="DQ13" s="99">
        <f t="shared" si="20"/>
        <v>0</v>
      </c>
      <c r="DR13" s="122"/>
      <c r="DS13" s="100" t="str">
        <f t="shared" si="8"/>
        <v/>
      </c>
      <c r="DT13" s="678"/>
      <c r="DU13" s="679"/>
      <c r="DV13" s="679"/>
      <c r="DW13" s="679"/>
      <c r="DX13" s="679"/>
      <c r="DY13" s="679"/>
      <c r="DZ13" s="679"/>
      <c r="EA13" s="679"/>
      <c r="EB13" s="679"/>
      <c r="EC13" s="680"/>
      <c r="ED13" s="96"/>
      <c r="EE13" s="101">
        <f t="shared" si="21"/>
        <v>0</v>
      </c>
      <c r="EF13" s="424"/>
      <c r="EG13" s="102" t="str">
        <f t="shared" si="9"/>
        <v/>
      </c>
      <c r="EH13" s="681"/>
      <c r="EI13" s="682"/>
      <c r="EJ13" s="682"/>
      <c r="EK13" s="682"/>
      <c r="EL13" s="682"/>
      <c r="EM13" s="682"/>
      <c r="EN13" s="682"/>
      <c r="EO13" s="682"/>
      <c r="EP13" s="682"/>
      <c r="EQ13" s="683"/>
      <c r="ER13" s="96"/>
      <c r="ES13" s="103">
        <f t="shared" si="22"/>
        <v>0</v>
      </c>
      <c r="ET13" s="426"/>
      <c r="EU13" s="104" t="str">
        <f t="shared" si="10"/>
        <v/>
      </c>
      <c r="EV13" s="684"/>
      <c r="EW13" s="685"/>
      <c r="EX13" s="685"/>
      <c r="EY13" s="685"/>
      <c r="EZ13" s="685"/>
      <c r="FA13" s="685"/>
      <c r="FB13" s="685"/>
      <c r="FC13" s="685"/>
      <c r="FD13" s="685"/>
      <c r="FE13" s="686"/>
      <c r="FF13" s="96"/>
      <c r="FG13" s="105">
        <f t="shared" si="23"/>
        <v>0</v>
      </c>
      <c r="FH13" s="429"/>
      <c r="FI13" s="106" t="str">
        <f t="shared" si="11"/>
        <v/>
      </c>
      <c r="FJ13" s="687"/>
      <c r="FK13" s="688"/>
      <c r="FL13" s="688"/>
      <c r="FM13" s="688"/>
      <c r="FN13" s="688"/>
      <c r="FO13" s="688"/>
      <c r="FP13" s="688"/>
      <c r="FQ13" s="688"/>
      <c r="FR13" s="688"/>
      <c r="FS13" s="689"/>
      <c r="FT13" s="107"/>
    </row>
    <row r="14" spans="6:176" ht="20.100000000000001" customHeight="1" x14ac:dyDescent="0.25">
      <c r="F14" s="3">
        <v>5</v>
      </c>
      <c r="H14" s="16"/>
      <c r="I14" s="94">
        <f t="shared" si="12"/>
        <v>0</v>
      </c>
      <c r="J14" s="120"/>
      <c r="K14" s="95" t="str">
        <f t="shared" si="0"/>
        <v/>
      </c>
      <c r="L14" s="690"/>
      <c r="M14" s="691"/>
      <c r="N14" s="691"/>
      <c r="O14" s="691"/>
      <c r="P14" s="691"/>
      <c r="Q14" s="691"/>
      <c r="R14" s="691"/>
      <c r="S14" s="691"/>
      <c r="T14" s="691"/>
      <c r="U14" s="692"/>
      <c r="V14" s="96"/>
      <c r="W14" s="97">
        <f t="shared" si="13"/>
        <v>0</v>
      </c>
      <c r="X14" s="121"/>
      <c r="Y14" s="98" t="str">
        <f t="shared" si="1"/>
        <v/>
      </c>
      <c r="Z14" s="693"/>
      <c r="AA14" s="694"/>
      <c r="AB14" s="694"/>
      <c r="AC14" s="694"/>
      <c r="AD14" s="694"/>
      <c r="AE14" s="694"/>
      <c r="AF14" s="694"/>
      <c r="AG14" s="694"/>
      <c r="AH14" s="694"/>
      <c r="AI14" s="695"/>
      <c r="AJ14" s="96"/>
      <c r="AK14" s="99">
        <f t="shared" si="14"/>
        <v>0</v>
      </c>
      <c r="AL14" s="122"/>
      <c r="AM14" s="100" t="str">
        <f t="shared" si="2"/>
        <v/>
      </c>
      <c r="AN14" s="678"/>
      <c r="AO14" s="679"/>
      <c r="AP14" s="679"/>
      <c r="AQ14" s="679"/>
      <c r="AR14" s="679"/>
      <c r="AS14" s="679"/>
      <c r="AT14" s="679"/>
      <c r="AU14" s="679"/>
      <c r="AV14" s="679"/>
      <c r="AW14" s="680"/>
      <c r="AX14" s="96"/>
      <c r="AY14" s="101">
        <f t="shared" si="15"/>
        <v>0</v>
      </c>
      <c r="AZ14" s="424"/>
      <c r="BA14" s="102" t="str">
        <f t="shared" si="3"/>
        <v/>
      </c>
      <c r="BB14" s="681"/>
      <c r="BC14" s="682"/>
      <c r="BD14" s="682"/>
      <c r="BE14" s="682"/>
      <c r="BF14" s="682"/>
      <c r="BG14" s="682"/>
      <c r="BH14" s="682"/>
      <c r="BI14" s="682"/>
      <c r="BJ14" s="682"/>
      <c r="BK14" s="683"/>
      <c r="BL14" s="96"/>
      <c r="BM14" s="103">
        <f t="shared" si="16"/>
        <v>0</v>
      </c>
      <c r="BN14" s="426"/>
      <c r="BO14" s="104" t="str">
        <f t="shared" si="4"/>
        <v/>
      </c>
      <c r="BP14" s="684"/>
      <c r="BQ14" s="685"/>
      <c r="BR14" s="685"/>
      <c r="BS14" s="685"/>
      <c r="BT14" s="685"/>
      <c r="BU14" s="685"/>
      <c r="BV14" s="685"/>
      <c r="BW14" s="685"/>
      <c r="BX14" s="685"/>
      <c r="BY14" s="686"/>
      <c r="BZ14" s="96"/>
      <c r="CA14" s="105">
        <f t="shared" si="17"/>
        <v>0</v>
      </c>
      <c r="CB14" s="429"/>
      <c r="CC14" s="106" t="str">
        <f t="shared" si="5"/>
        <v/>
      </c>
      <c r="CD14" s="687"/>
      <c r="CE14" s="688"/>
      <c r="CF14" s="688"/>
      <c r="CG14" s="688"/>
      <c r="CH14" s="688"/>
      <c r="CI14" s="688"/>
      <c r="CJ14" s="688"/>
      <c r="CK14" s="688"/>
      <c r="CL14" s="688"/>
      <c r="CM14" s="689"/>
      <c r="CN14" s="107"/>
      <c r="CO14" s="94">
        <f t="shared" si="18"/>
        <v>0</v>
      </c>
      <c r="CP14" s="120"/>
      <c r="CQ14" s="95" t="str">
        <f t="shared" si="6"/>
        <v/>
      </c>
      <c r="CR14" s="690"/>
      <c r="CS14" s="691"/>
      <c r="CT14" s="691"/>
      <c r="CU14" s="691"/>
      <c r="CV14" s="691"/>
      <c r="CW14" s="691"/>
      <c r="CX14" s="691"/>
      <c r="CY14" s="691"/>
      <c r="CZ14" s="691"/>
      <c r="DA14" s="692"/>
      <c r="DB14" s="96"/>
      <c r="DC14" s="97">
        <f t="shared" si="19"/>
        <v>0</v>
      </c>
      <c r="DD14" s="121"/>
      <c r="DE14" s="98" t="str">
        <f t="shared" si="7"/>
        <v/>
      </c>
      <c r="DF14" s="693"/>
      <c r="DG14" s="694"/>
      <c r="DH14" s="694"/>
      <c r="DI14" s="694"/>
      <c r="DJ14" s="694"/>
      <c r="DK14" s="694"/>
      <c r="DL14" s="694"/>
      <c r="DM14" s="694"/>
      <c r="DN14" s="694"/>
      <c r="DO14" s="695"/>
      <c r="DP14" s="96"/>
      <c r="DQ14" s="99">
        <f t="shared" si="20"/>
        <v>0</v>
      </c>
      <c r="DR14" s="122"/>
      <c r="DS14" s="100" t="str">
        <f>IF(DQ14&gt;=1,WEEKDAY(DR14),"")</f>
        <v/>
      </c>
      <c r="DT14" s="678"/>
      <c r="DU14" s="679"/>
      <c r="DV14" s="679"/>
      <c r="DW14" s="679"/>
      <c r="DX14" s="679"/>
      <c r="DY14" s="679"/>
      <c r="DZ14" s="679"/>
      <c r="EA14" s="679"/>
      <c r="EB14" s="679"/>
      <c r="EC14" s="680"/>
      <c r="ED14" s="96"/>
      <c r="EE14" s="101">
        <f t="shared" si="21"/>
        <v>0</v>
      </c>
      <c r="EF14" s="424"/>
      <c r="EG14" s="102" t="str">
        <f t="shared" si="9"/>
        <v/>
      </c>
      <c r="EH14" s="681"/>
      <c r="EI14" s="682"/>
      <c r="EJ14" s="682"/>
      <c r="EK14" s="682"/>
      <c r="EL14" s="682"/>
      <c r="EM14" s="682"/>
      <c r="EN14" s="682"/>
      <c r="EO14" s="682"/>
      <c r="EP14" s="682"/>
      <c r="EQ14" s="683"/>
      <c r="ER14" s="96"/>
      <c r="ES14" s="103">
        <f t="shared" si="22"/>
        <v>0</v>
      </c>
      <c r="ET14" s="426"/>
      <c r="EU14" s="104" t="str">
        <f t="shared" si="10"/>
        <v/>
      </c>
      <c r="EV14" s="684"/>
      <c r="EW14" s="685"/>
      <c r="EX14" s="685"/>
      <c r="EY14" s="685"/>
      <c r="EZ14" s="685"/>
      <c r="FA14" s="685"/>
      <c r="FB14" s="685"/>
      <c r="FC14" s="685"/>
      <c r="FD14" s="685"/>
      <c r="FE14" s="686"/>
      <c r="FF14" s="96"/>
      <c r="FG14" s="105">
        <f t="shared" si="23"/>
        <v>0</v>
      </c>
      <c r="FH14" s="429"/>
      <c r="FI14" s="106" t="str">
        <f t="shared" si="11"/>
        <v/>
      </c>
      <c r="FJ14" s="687"/>
      <c r="FK14" s="688"/>
      <c r="FL14" s="688"/>
      <c r="FM14" s="688"/>
      <c r="FN14" s="688"/>
      <c r="FO14" s="688"/>
      <c r="FP14" s="688"/>
      <c r="FQ14" s="688"/>
      <c r="FR14" s="688"/>
      <c r="FS14" s="689"/>
      <c r="FT14" s="107"/>
    </row>
    <row r="15" spans="6:176" ht="20.100000000000001" customHeight="1" x14ac:dyDescent="0.25">
      <c r="F15" s="3">
        <v>6</v>
      </c>
      <c r="H15" s="16"/>
      <c r="I15" s="94">
        <f t="shared" si="12"/>
        <v>0</v>
      </c>
      <c r="J15" s="120"/>
      <c r="K15" s="95" t="str">
        <f t="shared" si="0"/>
        <v/>
      </c>
      <c r="L15" s="668"/>
      <c r="M15" s="668"/>
      <c r="N15" s="668"/>
      <c r="O15" s="668"/>
      <c r="P15" s="668"/>
      <c r="Q15" s="668"/>
      <c r="R15" s="668"/>
      <c r="S15" s="668"/>
      <c r="T15" s="668"/>
      <c r="U15" s="669"/>
      <c r="V15" s="96"/>
      <c r="W15" s="97">
        <f t="shared" si="13"/>
        <v>0</v>
      </c>
      <c r="X15" s="121"/>
      <c r="Y15" s="98" t="str">
        <f t="shared" si="1"/>
        <v/>
      </c>
      <c r="Z15" s="670"/>
      <c r="AA15" s="670"/>
      <c r="AB15" s="670"/>
      <c r="AC15" s="670"/>
      <c r="AD15" s="670"/>
      <c r="AE15" s="670"/>
      <c r="AF15" s="670"/>
      <c r="AG15" s="670"/>
      <c r="AH15" s="670"/>
      <c r="AI15" s="671"/>
      <c r="AJ15" s="96"/>
      <c r="AK15" s="99">
        <f t="shared" si="14"/>
        <v>0</v>
      </c>
      <c r="AL15" s="122"/>
      <c r="AM15" s="100" t="str">
        <f t="shared" si="2"/>
        <v/>
      </c>
      <c r="AN15" s="672"/>
      <c r="AO15" s="672"/>
      <c r="AP15" s="672"/>
      <c r="AQ15" s="672"/>
      <c r="AR15" s="672"/>
      <c r="AS15" s="672"/>
      <c r="AT15" s="672"/>
      <c r="AU15" s="672"/>
      <c r="AV15" s="672"/>
      <c r="AW15" s="673"/>
      <c r="AX15" s="96"/>
      <c r="AY15" s="101">
        <f t="shared" si="15"/>
        <v>0</v>
      </c>
      <c r="AZ15" s="424"/>
      <c r="BA15" s="102" t="str">
        <f t="shared" si="3"/>
        <v/>
      </c>
      <c r="BB15" s="674"/>
      <c r="BC15" s="674"/>
      <c r="BD15" s="674"/>
      <c r="BE15" s="674"/>
      <c r="BF15" s="674"/>
      <c r="BG15" s="674"/>
      <c r="BH15" s="674"/>
      <c r="BI15" s="674"/>
      <c r="BJ15" s="674"/>
      <c r="BK15" s="675"/>
      <c r="BL15" s="96"/>
      <c r="BM15" s="103">
        <f t="shared" si="16"/>
        <v>0</v>
      </c>
      <c r="BN15" s="426"/>
      <c r="BO15" s="104" t="str">
        <f t="shared" si="4"/>
        <v/>
      </c>
      <c r="BP15" s="676"/>
      <c r="BQ15" s="676"/>
      <c r="BR15" s="676"/>
      <c r="BS15" s="676"/>
      <c r="BT15" s="676"/>
      <c r="BU15" s="676"/>
      <c r="BV15" s="676"/>
      <c r="BW15" s="676"/>
      <c r="BX15" s="676"/>
      <c r="BY15" s="677"/>
      <c r="BZ15" s="96"/>
      <c r="CA15" s="105">
        <f t="shared" si="17"/>
        <v>0</v>
      </c>
      <c r="CB15" s="429"/>
      <c r="CC15" s="106" t="str">
        <f t="shared" si="5"/>
        <v/>
      </c>
      <c r="CD15" s="666"/>
      <c r="CE15" s="666"/>
      <c r="CF15" s="666"/>
      <c r="CG15" s="666"/>
      <c r="CH15" s="666"/>
      <c r="CI15" s="666"/>
      <c r="CJ15" s="666"/>
      <c r="CK15" s="666"/>
      <c r="CL15" s="666"/>
      <c r="CM15" s="667"/>
      <c r="CN15" s="107"/>
      <c r="CO15" s="94">
        <f t="shared" si="18"/>
        <v>0</v>
      </c>
      <c r="CP15" s="120"/>
      <c r="CQ15" s="95" t="str">
        <f t="shared" si="6"/>
        <v/>
      </c>
      <c r="CR15" s="668"/>
      <c r="CS15" s="668"/>
      <c r="CT15" s="668"/>
      <c r="CU15" s="668"/>
      <c r="CV15" s="668"/>
      <c r="CW15" s="668"/>
      <c r="CX15" s="668"/>
      <c r="CY15" s="668"/>
      <c r="CZ15" s="668"/>
      <c r="DA15" s="669"/>
      <c r="DB15" s="96"/>
      <c r="DC15" s="97">
        <f t="shared" si="19"/>
        <v>0</v>
      </c>
      <c r="DD15" s="121"/>
      <c r="DE15" s="98" t="str">
        <f t="shared" si="7"/>
        <v/>
      </c>
      <c r="DF15" s="670"/>
      <c r="DG15" s="670"/>
      <c r="DH15" s="670"/>
      <c r="DI15" s="670"/>
      <c r="DJ15" s="670"/>
      <c r="DK15" s="670"/>
      <c r="DL15" s="670"/>
      <c r="DM15" s="670"/>
      <c r="DN15" s="670"/>
      <c r="DO15" s="671"/>
      <c r="DP15" s="96"/>
      <c r="DQ15" s="99">
        <f t="shared" si="20"/>
        <v>0</v>
      </c>
      <c r="DR15" s="122"/>
      <c r="DS15" s="100" t="str">
        <f t="shared" si="8"/>
        <v/>
      </c>
      <c r="DT15" s="672"/>
      <c r="DU15" s="672"/>
      <c r="DV15" s="672"/>
      <c r="DW15" s="672"/>
      <c r="DX15" s="672"/>
      <c r="DY15" s="672"/>
      <c r="DZ15" s="672"/>
      <c r="EA15" s="672"/>
      <c r="EB15" s="672"/>
      <c r="EC15" s="673"/>
      <c r="ED15" s="96"/>
      <c r="EE15" s="101">
        <f t="shared" si="21"/>
        <v>0</v>
      </c>
      <c r="EF15" s="424"/>
      <c r="EG15" s="102" t="str">
        <f t="shared" si="9"/>
        <v/>
      </c>
      <c r="EH15" s="674"/>
      <c r="EI15" s="674"/>
      <c r="EJ15" s="674"/>
      <c r="EK15" s="674"/>
      <c r="EL15" s="674"/>
      <c r="EM15" s="674"/>
      <c r="EN15" s="674"/>
      <c r="EO15" s="674"/>
      <c r="EP15" s="674"/>
      <c r="EQ15" s="675"/>
      <c r="ER15" s="96"/>
      <c r="ES15" s="103">
        <f t="shared" si="22"/>
        <v>0</v>
      </c>
      <c r="ET15" s="426"/>
      <c r="EU15" s="104" t="str">
        <f t="shared" si="10"/>
        <v/>
      </c>
      <c r="EV15" s="676"/>
      <c r="EW15" s="676"/>
      <c r="EX15" s="676"/>
      <c r="EY15" s="676"/>
      <c r="EZ15" s="676"/>
      <c r="FA15" s="676"/>
      <c r="FB15" s="676"/>
      <c r="FC15" s="676"/>
      <c r="FD15" s="676"/>
      <c r="FE15" s="677"/>
      <c r="FF15" s="96"/>
      <c r="FG15" s="105">
        <f t="shared" si="23"/>
        <v>0</v>
      </c>
      <c r="FH15" s="429"/>
      <c r="FI15" s="106" t="str">
        <f t="shared" si="11"/>
        <v/>
      </c>
      <c r="FJ15" s="666"/>
      <c r="FK15" s="666"/>
      <c r="FL15" s="666"/>
      <c r="FM15" s="666"/>
      <c r="FN15" s="666"/>
      <c r="FO15" s="666"/>
      <c r="FP15" s="666"/>
      <c r="FQ15" s="666"/>
      <c r="FR15" s="666"/>
      <c r="FS15" s="667"/>
      <c r="FT15" s="107"/>
    </row>
    <row r="16" spans="6:176" ht="20.100000000000001" customHeight="1" x14ac:dyDescent="0.25">
      <c r="F16" s="3">
        <v>7</v>
      </c>
      <c r="H16" s="16"/>
      <c r="I16" s="94">
        <f t="shared" si="12"/>
        <v>0</v>
      </c>
      <c r="J16" s="120"/>
      <c r="K16" s="95" t="str">
        <f t="shared" si="0"/>
        <v/>
      </c>
      <c r="L16" s="668"/>
      <c r="M16" s="668"/>
      <c r="N16" s="668"/>
      <c r="O16" s="668"/>
      <c r="P16" s="668"/>
      <c r="Q16" s="668"/>
      <c r="R16" s="668"/>
      <c r="S16" s="668"/>
      <c r="T16" s="668"/>
      <c r="U16" s="669"/>
      <c r="V16" s="96"/>
      <c r="W16" s="97">
        <f t="shared" si="13"/>
        <v>0</v>
      </c>
      <c r="X16" s="121"/>
      <c r="Y16" s="98" t="str">
        <f t="shared" si="1"/>
        <v/>
      </c>
      <c r="Z16" s="670"/>
      <c r="AA16" s="670"/>
      <c r="AB16" s="670"/>
      <c r="AC16" s="670"/>
      <c r="AD16" s="670"/>
      <c r="AE16" s="670"/>
      <c r="AF16" s="670"/>
      <c r="AG16" s="670"/>
      <c r="AH16" s="670"/>
      <c r="AI16" s="671"/>
      <c r="AJ16" s="96"/>
      <c r="AK16" s="99">
        <f t="shared" si="14"/>
        <v>0</v>
      </c>
      <c r="AL16" s="122"/>
      <c r="AM16" s="100" t="str">
        <f t="shared" si="2"/>
        <v/>
      </c>
      <c r="AN16" s="672"/>
      <c r="AO16" s="672"/>
      <c r="AP16" s="672"/>
      <c r="AQ16" s="672"/>
      <c r="AR16" s="672"/>
      <c r="AS16" s="672"/>
      <c r="AT16" s="672"/>
      <c r="AU16" s="672"/>
      <c r="AV16" s="672"/>
      <c r="AW16" s="673"/>
      <c r="AX16" s="96"/>
      <c r="AY16" s="101">
        <f t="shared" si="15"/>
        <v>0</v>
      </c>
      <c r="AZ16" s="424"/>
      <c r="BA16" s="102" t="str">
        <f t="shared" si="3"/>
        <v/>
      </c>
      <c r="BB16" s="674"/>
      <c r="BC16" s="674"/>
      <c r="BD16" s="674"/>
      <c r="BE16" s="674"/>
      <c r="BF16" s="674"/>
      <c r="BG16" s="674"/>
      <c r="BH16" s="674"/>
      <c r="BI16" s="674"/>
      <c r="BJ16" s="674"/>
      <c r="BK16" s="675"/>
      <c r="BL16" s="96"/>
      <c r="BM16" s="103">
        <f t="shared" si="16"/>
        <v>0</v>
      </c>
      <c r="BN16" s="426"/>
      <c r="BO16" s="104" t="str">
        <f t="shared" si="4"/>
        <v/>
      </c>
      <c r="BP16" s="676"/>
      <c r="BQ16" s="676"/>
      <c r="BR16" s="676"/>
      <c r="BS16" s="676"/>
      <c r="BT16" s="676"/>
      <c r="BU16" s="676"/>
      <c r="BV16" s="676"/>
      <c r="BW16" s="676"/>
      <c r="BX16" s="676"/>
      <c r="BY16" s="677"/>
      <c r="BZ16" s="96"/>
      <c r="CA16" s="105">
        <f t="shared" si="17"/>
        <v>0</v>
      </c>
      <c r="CB16" s="429"/>
      <c r="CC16" s="106" t="str">
        <f t="shared" si="5"/>
        <v/>
      </c>
      <c r="CD16" s="666"/>
      <c r="CE16" s="666"/>
      <c r="CF16" s="666"/>
      <c r="CG16" s="666"/>
      <c r="CH16" s="666"/>
      <c r="CI16" s="666"/>
      <c r="CJ16" s="666"/>
      <c r="CK16" s="666"/>
      <c r="CL16" s="666"/>
      <c r="CM16" s="667"/>
      <c r="CN16" s="107"/>
      <c r="CO16" s="94">
        <f t="shared" si="18"/>
        <v>0</v>
      </c>
      <c r="CP16" s="120"/>
      <c r="CQ16" s="95" t="str">
        <f t="shared" si="6"/>
        <v/>
      </c>
      <c r="CR16" s="668"/>
      <c r="CS16" s="668"/>
      <c r="CT16" s="668"/>
      <c r="CU16" s="668"/>
      <c r="CV16" s="668"/>
      <c r="CW16" s="668"/>
      <c r="CX16" s="668"/>
      <c r="CY16" s="668"/>
      <c r="CZ16" s="668"/>
      <c r="DA16" s="669"/>
      <c r="DB16" s="96"/>
      <c r="DC16" s="97">
        <f t="shared" si="19"/>
        <v>0</v>
      </c>
      <c r="DD16" s="121"/>
      <c r="DE16" s="98" t="str">
        <f t="shared" si="7"/>
        <v/>
      </c>
      <c r="DF16" s="670"/>
      <c r="DG16" s="670"/>
      <c r="DH16" s="670"/>
      <c r="DI16" s="670"/>
      <c r="DJ16" s="670"/>
      <c r="DK16" s="670"/>
      <c r="DL16" s="670"/>
      <c r="DM16" s="670"/>
      <c r="DN16" s="670"/>
      <c r="DO16" s="671"/>
      <c r="DP16" s="96"/>
      <c r="DQ16" s="99">
        <f t="shared" si="20"/>
        <v>0</v>
      </c>
      <c r="DR16" s="122"/>
      <c r="DS16" s="100" t="str">
        <f t="shared" si="8"/>
        <v/>
      </c>
      <c r="DT16" s="672"/>
      <c r="DU16" s="672"/>
      <c r="DV16" s="672"/>
      <c r="DW16" s="672"/>
      <c r="DX16" s="672"/>
      <c r="DY16" s="672"/>
      <c r="DZ16" s="672"/>
      <c r="EA16" s="672"/>
      <c r="EB16" s="672"/>
      <c r="EC16" s="673"/>
      <c r="ED16" s="96"/>
      <c r="EE16" s="101">
        <f t="shared" si="21"/>
        <v>0</v>
      </c>
      <c r="EF16" s="424"/>
      <c r="EG16" s="102" t="str">
        <f t="shared" si="9"/>
        <v/>
      </c>
      <c r="EH16" s="674"/>
      <c r="EI16" s="674"/>
      <c r="EJ16" s="674"/>
      <c r="EK16" s="674"/>
      <c r="EL16" s="674"/>
      <c r="EM16" s="674"/>
      <c r="EN16" s="674"/>
      <c r="EO16" s="674"/>
      <c r="EP16" s="674"/>
      <c r="EQ16" s="675"/>
      <c r="ER16" s="96"/>
      <c r="ES16" s="103">
        <f t="shared" si="22"/>
        <v>0</v>
      </c>
      <c r="ET16" s="426"/>
      <c r="EU16" s="104" t="str">
        <f t="shared" si="10"/>
        <v/>
      </c>
      <c r="EV16" s="676"/>
      <c r="EW16" s="676"/>
      <c r="EX16" s="676"/>
      <c r="EY16" s="676"/>
      <c r="EZ16" s="676"/>
      <c r="FA16" s="676"/>
      <c r="FB16" s="676"/>
      <c r="FC16" s="676"/>
      <c r="FD16" s="676"/>
      <c r="FE16" s="677"/>
      <c r="FF16" s="96"/>
      <c r="FG16" s="105">
        <f t="shared" si="23"/>
        <v>0</v>
      </c>
      <c r="FH16" s="429"/>
      <c r="FI16" s="106" t="str">
        <f t="shared" si="11"/>
        <v/>
      </c>
      <c r="FJ16" s="666"/>
      <c r="FK16" s="666"/>
      <c r="FL16" s="666"/>
      <c r="FM16" s="666"/>
      <c r="FN16" s="666"/>
      <c r="FO16" s="666"/>
      <c r="FP16" s="666"/>
      <c r="FQ16" s="666"/>
      <c r="FR16" s="666"/>
      <c r="FS16" s="667"/>
      <c r="FT16" s="107"/>
    </row>
    <row r="17" spans="6:176" ht="20.100000000000001" customHeight="1" x14ac:dyDescent="0.25">
      <c r="F17" s="3">
        <v>8</v>
      </c>
      <c r="H17" s="16"/>
      <c r="I17" s="94">
        <f t="shared" si="12"/>
        <v>0</v>
      </c>
      <c r="J17" s="120"/>
      <c r="K17" s="95" t="str">
        <f t="shared" si="0"/>
        <v/>
      </c>
      <c r="L17" s="668"/>
      <c r="M17" s="668"/>
      <c r="N17" s="668"/>
      <c r="O17" s="668"/>
      <c r="P17" s="668"/>
      <c r="Q17" s="668"/>
      <c r="R17" s="668"/>
      <c r="S17" s="668"/>
      <c r="T17" s="668"/>
      <c r="U17" s="669"/>
      <c r="V17" s="96"/>
      <c r="W17" s="97">
        <f t="shared" si="13"/>
        <v>0</v>
      </c>
      <c r="X17" s="121"/>
      <c r="Y17" s="98" t="str">
        <f t="shared" si="1"/>
        <v/>
      </c>
      <c r="Z17" s="670"/>
      <c r="AA17" s="670"/>
      <c r="AB17" s="670"/>
      <c r="AC17" s="670"/>
      <c r="AD17" s="670"/>
      <c r="AE17" s="670"/>
      <c r="AF17" s="670"/>
      <c r="AG17" s="670"/>
      <c r="AH17" s="670"/>
      <c r="AI17" s="671"/>
      <c r="AJ17" s="96"/>
      <c r="AK17" s="99">
        <f t="shared" si="14"/>
        <v>0</v>
      </c>
      <c r="AL17" s="122"/>
      <c r="AM17" s="100" t="str">
        <f t="shared" si="2"/>
        <v/>
      </c>
      <c r="AN17" s="672"/>
      <c r="AO17" s="672"/>
      <c r="AP17" s="672"/>
      <c r="AQ17" s="672"/>
      <c r="AR17" s="672"/>
      <c r="AS17" s="672"/>
      <c r="AT17" s="672"/>
      <c r="AU17" s="672"/>
      <c r="AV17" s="672"/>
      <c r="AW17" s="673"/>
      <c r="AX17" s="96"/>
      <c r="AY17" s="101">
        <f t="shared" si="15"/>
        <v>0</v>
      </c>
      <c r="AZ17" s="424"/>
      <c r="BA17" s="102" t="str">
        <f t="shared" si="3"/>
        <v/>
      </c>
      <c r="BB17" s="674"/>
      <c r="BC17" s="674"/>
      <c r="BD17" s="674"/>
      <c r="BE17" s="674"/>
      <c r="BF17" s="674"/>
      <c r="BG17" s="674"/>
      <c r="BH17" s="674"/>
      <c r="BI17" s="674"/>
      <c r="BJ17" s="674"/>
      <c r="BK17" s="675"/>
      <c r="BL17" s="96"/>
      <c r="BM17" s="103">
        <f t="shared" si="16"/>
        <v>0</v>
      </c>
      <c r="BN17" s="426"/>
      <c r="BO17" s="104" t="str">
        <f t="shared" si="4"/>
        <v/>
      </c>
      <c r="BP17" s="676"/>
      <c r="BQ17" s="676"/>
      <c r="BR17" s="676"/>
      <c r="BS17" s="676"/>
      <c r="BT17" s="676"/>
      <c r="BU17" s="676"/>
      <c r="BV17" s="676"/>
      <c r="BW17" s="676"/>
      <c r="BX17" s="676"/>
      <c r="BY17" s="677"/>
      <c r="BZ17" s="96"/>
      <c r="CA17" s="105">
        <f t="shared" si="17"/>
        <v>0</v>
      </c>
      <c r="CB17" s="429"/>
      <c r="CC17" s="106" t="str">
        <f t="shared" si="5"/>
        <v/>
      </c>
      <c r="CD17" s="666"/>
      <c r="CE17" s="666"/>
      <c r="CF17" s="666"/>
      <c r="CG17" s="666"/>
      <c r="CH17" s="666"/>
      <c r="CI17" s="666"/>
      <c r="CJ17" s="666"/>
      <c r="CK17" s="666"/>
      <c r="CL17" s="666"/>
      <c r="CM17" s="667"/>
      <c r="CN17" s="107"/>
      <c r="CO17" s="94">
        <f t="shared" si="18"/>
        <v>0</v>
      </c>
      <c r="CP17" s="120"/>
      <c r="CQ17" s="95" t="str">
        <f t="shared" si="6"/>
        <v/>
      </c>
      <c r="CR17" s="668"/>
      <c r="CS17" s="668"/>
      <c r="CT17" s="668"/>
      <c r="CU17" s="668"/>
      <c r="CV17" s="668"/>
      <c r="CW17" s="668"/>
      <c r="CX17" s="668"/>
      <c r="CY17" s="668"/>
      <c r="CZ17" s="668"/>
      <c r="DA17" s="669"/>
      <c r="DB17" s="96"/>
      <c r="DC17" s="97">
        <f t="shared" si="19"/>
        <v>0</v>
      </c>
      <c r="DD17" s="121"/>
      <c r="DE17" s="98" t="str">
        <f t="shared" si="7"/>
        <v/>
      </c>
      <c r="DF17" s="670"/>
      <c r="DG17" s="670"/>
      <c r="DH17" s="670"/>
      <c r="DI17" s="670"/>
      <c r="DJ17" s="670"/>
      <c r="DK17" s="670"/>
      <c r="DL17" s="670"/>
      <c r="DM17" s="670"/>
      <c r="DN17" s="670"/>
      <c r="DO17" s="671"/>
      <c r="DP17" s="96"/>
      <c r="DQ17" s="99">
        <f t="shared" si="20"/>
        <v>0</v>
      </c>
      <c r="DR17" s="122"/>
      <c r="DS17" s="100" t="str">
        <f t="shared" si="8"/>
        <v/>
      </c>
      <c r="DT17" s="672"/>
      <c r="DU17" s="672"/>
      <c r="DV17" s="672"/>
      <c r="DW17" s="672"/>
      <c r="DX17" s="672"/>
      <c r="DY17" s="672"/>
      <c r="DZ17" s="672"/>
      <c r="EA17" s="672"/>
      <c r="EB17" s="672"/>
      <c r="EC17" s="673"/>
      <c r="ED17" s="96"/>
      <c r="EE17" s="101">
        <f t="shared" si="21"/>
        <v>0</v>
      </c>
      <c r="EF17" s="424"/>
      <c r="EG17" s="102" t="str">
        <f t="shared" si="9"/>
        <v/>
      </c>
      <c r="EH17" s="674"/>
      <c r="EI17" s="674"/>
      <c r="EJ17" s="674"/>
      <c r="EK17" s="674"/>
      <c r="EL17" s="674"/>
      <c r="EM17" s="674"/>
      <c r="EN17" s="674"/>
      <c r="EO17" s="674"/>
      <c r="EP17" s="674"/>
      <c r="EQ17" s="675"/>
      <c r="ER17" s="96"/>
      <c r="ES17" s="103">
        <f t="shared" si="22"/>
        <v>0</v>
      </c>
      <c r="ET17" s="426"/>
      <c r="EU17" s="104" t="str">
        <f t="shared" si="10"/>
        <v/>
      </c>
      <c r="EV17" s="676"/>
      <c r="EW17" s="676"/>
      <c r="EX17" s="676"/>
      <c r="EY17" s="676"/>
      <c r="EZ17" s="676"/>
      <c r="FA17" s="676"/>
      <c r="FB17" s="676"/>
      <c r="FC17" s="676"/>
      <c r="FD17" s="676"/>
      <c r="FE17" s="677"/>
      <c r="FF17" s="96"/>
      <c r="FG17" s="105">
        <f t="shared" si="23"/>
        <v>0</v>
      </c>
      <c r="FH17" s="429"/>
      <c r="FI17" s="106" t="str">
        <f t="shared" si="11"/>
        <v/>
      </c>
      <c r="FJ17" s="666"/>
      <c r="FK17" s="666"/>
      <c r="FL17" s="666"/>
      <c r="FM17" s="666"/>
      <c r="FN17" s="666"/>
      <c r="FO17" s="666"/>
      <c r="FP17" s="666"/>
      <c r="FQ17" s="666"/>
      <c r="FR17" s="666"/>
      <c r="FS17" s="667"/>
      <c r="FT17" s="107"/>
    </row>
    <row r="18" spans="6:176" ht="20.100000000000001" customHeight="1" x14ac:dyDescent="0.25">
      <c r="F18" s="3">
        <v>9</v>
      </c>
      <c r="H18" s="16"/>
      <c r="I18" s="94">
        <f t="shared" si="12"/>
        <v>0</v>
      </c>
      <c r="J18" s="120"/>
      <c r="K18" s="95" t="str">
        <f t="shared" si="0"/>
        <v/>
      </c>
      <c r="L18" s="668"/>
      <c r="M18" s="668"/>
      <c r="N18" s="668"/>
      <c r="O18" s="668"/>
      <c r="P18" s="668"/>
      <c r="Q18" s="668"/>
      <c r="R18" s="668"/>
      <c r="S18" s="668"/>
      <c r="T18" s="668"/>
      <c r="U18" s="669"/>
      <c r="V18" s="96"/>
      <c r="W18" s="97">
        <f t="shared" si="13"/>
        <v>0</v>
      </c>
      <c r="X18" s="121"/>
      <c r="Y18" s="98" t="str">
        <f t="shared" si="1"/>
        <v/>
      </c>
      <c r="Z18" s="670"/>
      <c r="AA18" s="670"/>
      <c r="AB18" s="670"/>
      <c r="AC18" s="670"/>
      <c r="AD18" s="670"/>
      <c r="AE18" s="670"/>
      <c r="AF18" s="670"/>
      <c r="AG18" s="670"/>
      <c r="AH18" s="670"/>
      <c r="AI18" s="671"/>
      <c r="AJ18" s="96"/>
      <c r="AK18" s="99">
        <f t="shared" si="14"/>
        <v>0</v>
      </c>
      <c r="AL18" s="122"/>
      <c r="AM18" s="100" t="str">
        <f t="shared" si="2"/>
        <v/>
      </c>
      <c r="AN18" s="672"/>
      <c r="AO18" s="672"/>
      <c r="AP18" s="672"/>
      <c r="AQ18" s="672"/>
      <c r="AR18" s="672"/>
      <c r="AS18" s="672"/>
      <c r="AT18" s="672"/>
      <c r="AU18" s="672"/>
      <c r="AV18" s="672"/>
      <c r="AW18" s="673"/>
      <c r="AX18" s="96"/>
      <c r="AY18" s="101">
        <f t="shared" si="15"/>
        <v>0</v>
      </c>
      <c r="AZ18" s="424"/>
      <c r="BA18" s="102" t="str">
        <f t="shared" si="3"/>
        <v/>
      </c>
      <c r="BB18" s="674"/>
      <c r="BC18" s="674"/>
      <c r="BD18" s="674"/>
      <c r="BE18" s="674"/>
      <c r="BF18" s="674"/>
      <c r="BG18" s="674"/>
      <c r="BH18" s="674"/>
      <c r="BI18" s="674"/>
      <c r="BJ18" s="674"/>
      <c r="BK18" s="675"/>
      <c r="BL18" s="96"/>
      <c r="BM18" s="103">
        <f t="shared" si="16"/>
        <v>0</v>
      </c>
      <c r="BN18" s="426"/>
      <c r="BO18" s="104" t="str">
        <f t="shared" si="4"/>
        <v/>
      </c>
      <c r="BP18" s="676"/>
      <c r="BQ18" s="676"/>
      <c r="BR18" s="676"/>
      <c r="BS18" s="676"/>
      <c r="BT18" s="676"/>
      <c r="BU18" s="676"/>
      <c r="BV18" s="676"/>
      <c r="BW18" s="676"/>
      <c r="BX18" s="676"/>
      <c r="BY18" s="677"/>
      <c r="BZ18" s="96"/>
      <c r="CA18" s="105">
        <f t="shared" si="17"/>
        <v>0</v>
      </c>
      <c r="CB18" s="429"/>
      <c r="CC18" s="106" t="str">
        <f t="shared" si="5"/>
        <v/>
      </c>
      <c r="CD18" s="666"/>
      <c r="CE18" s="666"/>
      <c r="CF18" s="666"/>
      <c r="CG18" s="666"/>
      <c r="CH18" s="666"/>
      <c r="CI18" s="666"/>
      <c r="CJ18" s="666"/>
      <c r="CK18" s="666"/>
      <c r="CL18" s="666"/>
      <c r="CM18" s="667"/>
      <c r="CN18" s="107"/>
      <c r="CO18" s="94">
        <f t="shared" si="18"/>
        <v>0</v>
      </c>
      <c r="CP18" s="120"/>
      <c r="CQ18" s="95" t="str">
        <f t="shared" si="6"/>
        <v/>
      </c>
      <c r="CR18" s="668"/>
      <c r="CS18" s="668"/>
      <c r="CT18" s="668"/>
      <c r="CU18" s="668"/>
      <c r="CV18" s="668"/>
      <c r="CW18" s="668"/>
      <c r="CX18" s="668"/>
      <c r="CY18" s="668"/>
      <c r="CZ18" s="668"/>
      <c r="DA18" s="669"/>
      <c r="DB18" s="96"/>
      <c r="DC18" s="97">
        <f t="shared" si="19"/>
        <v>0</v>
      </c>
      <c r="DD18" s="121"/>
      <c r="DE18" s="98" t="str">
        <f t="shared" si="7"/>
        <v/>
      </c>
      <c r="DF18" s="670"/>
      <c r="DG18" s="670"/>
      <c r="DH18" s="670"/>
      <c r="DI18" s="670"/>
      <c r="DJ18" s="670"/>
      <c r="DK18" s="670"/>
      <c r="DL18" s="670"/>
      <c r="DM18" s="670"/>
      <c r="DN18" s="670"/>
      <c r="DO18" s="671"/>
      <c r="DP18" s="96"/>
      <c r="DQ18" s="99">
        <f t="shared" si="20"/>
        <v>0</v>
      </c>
      <c r="DR18" s="122"/>
      <c r="DS18" s="100" t="str">
        <f t="shared" si="8"/>
        <v/>
      </c>
      <c r="DT18" s="672"/>
      <c r="DU18" s="672"/>
      <c r="DV18" s="672"/>
      <c r="DW18" s="672"/>
      <c r="DX18" s="672"/>
      <c r="DY18" s="672"/>
      <c r="DZ18" s="672"/>
      <c r="EA18" s="672"/>
      <c r="EB18" s="672"/>
      <c r="EC18" s="673"/>
      <c r="ED18" s="96"/>
      <c r="EE18" s="101">
        <f t="shared" si="21"/>
        <v>0</v>
      </c>
      <c r="EF18" s="424"/>
      <c r="EG18" s="102" t="str">
        <f t="shared" si="9"/>
        <v/>
      </c>
      <c r="EH18" s="674"/>
      <c r="EI18" s="674"/>
      <c r="EJ18" s="674"/>
      <c r="EK18" s="674"/>
      <c r="EL18" s="674"/>
      <c r="EM18" s="674"/>
      <c r="EN18" s="674"/>
      <c r="EO18" s="674"/>
      <c r="EP18" s="674"/>
      <c r="EQ18" s="675"/>
      <c r="ER18" s="96"/>
      <c r="ES18" s="103">
        <f t="shared" si="22"/>
        <v>0</v>
      </c>
      <c r="ET18" s="426"/>
      <c r="EU18" s="104" t="str">
        <f t="shared" si="10"/>
        <v/>
      </c>
      <c r="EV18" s="676"/>
      <c r="EW18" s="676"/>
      <c r="EX18" s="676"/>
      <c r="EY18" s="676"/>
      <c r="EZ18" s="676"/>
      <c r="FA18" s="676"/>
      <c r="FB18" s="676"/>
      <c r="FC18" s="676"/>
      <c r="FD18" s="676"/>
      <c r="FE18" s="677"/>
      <c r="FF18" s="96"/>
      <c r="FG18" s="105">
        <f t="shared" si="23"/>
        <v>0</v>
      </c>
      <c r="FH18" s="429"/>
      <c r="FI18" s="106" t="str">
        <f t="shared" si="11"/>
        <v/>
      </c>
      <c r="FJ18" s="666"/>
      <c r="FK18" s="666"/>
      <c r="FL18" s="666"/>
      <c r="FM18" s="666"/>
      <c r="FN18" s="666"/>
      <c r="FO18" s="666"/>
      <c r="FP18" s="666"/>
      <c r="FQ18" s="666"/>
      <c r="FR18" s="666"/>
      <c r="FS18" s="667"/>
      <c r="FT18" s="107"/>
    </row>
    <row r="19" spans="6:176" ht="20.100000000000001" customHeight="1" x14ac:dyDescent="0.25">
      <c r="F19" s="3">
        <v>10</v>
      </c>
      <c r="H19" s="16"/>
      <c r="I19" s="94">
        <f t="shared" si="12"/>
        <v>0</v>
      </c>
      <c r="J19" s="120"/>
      <c r="K19" s="95" t="str">
        <f t="shared" si="0"/>
        <v/>
      </c>
      <c r="L19" s="668"/>
      <c r="M19" s="668"/>
      <c r="N19" s="668"/>
      <c r="O19" s="668"/>
      <c r="P19" s="668"/>
      <c r="Q19" s="668"/>
      <c r="R19" s="668"/>
      <c r="S19" s="668"/>
      <c r="T19" s="668"/>
      <c r="U19" s="669"/>
      <c r="V19" s="96"/>
      <c r="W19" s="97">
        <f t="shared" si="13"/>
        <v>0</v>
      </c>
      <c r="X19" s="121"/>
      <c r="Y19" s="98" t="str">
        <f t="shared" si="1"/>
        <v/>
      </c>
      <c r="Z19" s="670"/>
      <c r="AA19" s="670"/>
      <c r="AB19" s="670"/>
      <c r="AC19" s="670"/>
      <c r="AD19" s="670"/>
      <c r="AE19" s="670"/>
      <c r="AF19" s="670"/>
      <c r="AG19" s="670"/>
      <c r="AH19" s="670"/>
      <c r="AI19" s="671"/>
      <c r="AJ19" s="96"/>
      <c r="AK19" s="99">
        <f t="shared" si="14"/>
        <v>0</v>
      </c>
      <c r="AL19" s="122"/>
      <c r="AM19" s="100" t="str">
        <f t="shared" si="2"/>
        <v/>
      </c>
      <c r="AN19" s="672"/>
      <c r="AO19" s="672"/>
      <c r="AP19" s="672"/>
      <c r="AQ19" s="672"/>
      <c r="AR19" s="672"/>
      <c r="AS19" s="672"/>
      <c r="AT19" s="672"/>
      <c r="AU19" s="672"/>
      <c r="AV19" s="672"/>
      <c r="AW19" s="673"/>
      <c r="AX19" s="96"/>
      <c r="AY19" s="101">
        <f t="shared" si="15"/>
        <v>0</v>
      </c>
      <c r="AZ19" s="424"/>
      <c r="BA19" s="102" t="str">
        <f t="shared" si="3"/>
        <v/>
      </c>
      <c r="BB19" s="674"/>
      <c r="BC19" s="674"/>
      <c r="BD19" s="674"/>
      <c r="BE19" s="674"/>
      <c r="BF19" s="674"/>
      <c r="BG19" s="674"/>
      <c r="BH19" s="674"/>
      <c r="BI19" s="674"/>
      <c r="BJ19" s="674"/>
      <c r="BK19" s="675"/>
      <c r="BL19" s="96"/>
      <c r="BM19" s="103">
        <f t="shared" si="16"/>
        <v>0</v>
      </c>
      <c r="BN19" s="426"/>
      <c r="BO19" s="104" t="str">
        <f t="shared" si="4"/>
        <v/>
      </c>
      <c r="BP19" s="676"/>
      <c r="BQ19" s="676"/>
      <c r="BR19" s="676"/>
      <c r="BS19" s="676"/>
      <c r="BT19" s="676"/>
      <c r="BU19" s="676"/>
      <c r="BV19" s="676"/>
      <c r="BW19" s="676"/>
      <c r="BX19" s="676"/>
      <c r="BY19" s="677"/>
      <c r="BZ19" s="96"/>
      <c r="CA19" s="105">
        <f t="shared" si="17"/>
        <v>0</v>
      </c>
      <c r="CB19" s="429"/>
      <c r="CC19" s="106" t="str">
        <f t="shared" si="5"/>
        <v/>
      </c>
      <c r="CD19" s="666"/>
      <c r="CE19" s="666"/>
      <c r="CF19" s="666"/>
      <c r="CG19" s="666"/>
      <c r="CH19" s="666"/>
      <c r="CI19" s="666"/>
      <c r="CJ19" s="666"/>
      <c r="CK19" s="666"/>
      <c r="CL19" s="666"/>
      <c r="CM19" s="667"/>
      <c r="CN19" s="107"/>
      <c r="CO19" s="94">
        <f t="shared" si="18"/>
        <v>0</v>
      </c>
      <c r="CP19" s="120"/>
      <c r="CQ19" s="95" t="str">
        <f t="shared" si="6"/>
        <v/>
      </c>
      <c r="CR19" s="668"/>
      <c r="CS19" s="668"/>
      <c r="CT19" s="668"/>
      <c r="CU19" s="668"/>
      <c r="CV19" s="668"/>
      <c r="CW19" s="668"/>
      <c r="CX19" s="668"/>
      <c r="CY19" s="668"/>
      <c r="CZ19" s="668"/>
      <c r="DA19" s="669"/>
      <c r="DB19" s="96"/>
      <c r="DC19" s="97">
        <f t="shared" si="19"/>
        <v>0</v>
      </c>
      <c r="DD19" s="121"/>
      <c r="DE19" s="98" t="str">
        <f t="shared" si="7"/>
        <v/>
      </c>
      <c r="DF19" s="670"/>
      <c r="DG19" s="670"/>
      <c r="DH19" s="670"/>
      <c r="DI19" s="670"/>
      <c r="DJ19" s="670"/>
      <c r="DK19" s="670"/>
      <c r="DL19" s="670"/>
      <c r="DM19" s="670"/>
      <c r="DN19" s="670"/>
      <c r="DO19" s="671"/>
      <c r="DP19" s="96"/>
      <c r="DQ19" s="99">
        <f t="shared" si="20"/>
        <v>0</v>
      </c>
      <c r="DR19" s="122"/>
      <c r="DS19" s="100" t="str">
        <f t="shared" si="8"/>
        <v/>
      </c>
      <c r="DT19" s="672"/>
      <c r="DU19" s="672"/>
      <c r="DV19" s="672"/>
      <c r="DW19" s="672"/>
      <c r="DX19" s="672"/>
      <c r="DY19" s="672"/>
      <c r="DZ19" s="672"/>
      <c r="EA19" s="672"/>
      <c r="EB19" s="672"/>
      <c r="EC19" s="673"/>
      <c r="ED19" s="96"/>
      <c r="EE19" s="101">
        <f t="shared" si="21"/>
        <v>0</v>
      </c>
      <c r="EF19" s="424"/>
      <c r="EG19" s="102" t="str">
        <f t="shared" si="9"/>
        <v/>
      </c>
      <c r="EH19" s="674"/>
      <c r="EI19" s="674"/>
      <c r="EJ19" s="674"/>
      <c r="EK19" s="674"/>
      <c r="EL19" s="674"/>
      <c r="EM19" s="674"/>
      <c r="EN19" s="674"/>
      <c r="EO19" s="674"/>
      <c r="EP19" s="674"/>
      <c r="EQ19" s="675"/>
      <c r="ER19" s="96"/>
      <c r="ES19" s="103">
        <f t="shared" si="22"/>
        <v>0</v>
      </c>
      <c r="ET19" s="426"/>
      <c r="EU19" s="104" t="str">
        <f t="shared" si="10"/>
        <v/>
      </c>
      <c r="EV19" s="676"/>
      <c r="EW19" s="676"/>
      <c r="EX19" s="676"/>
      <c r="EY19" s="676"/>
      <c r="EZ19" s="676"/>
      <c r="FA19" s="676"/>
      <c r="FB19" s="676"/>
      <c r="FC19" s="676"/>
      <c r="FD19" s="676"/>
      <c r="FE19" s="677"/>
      <c r="FF19" s="96"/>
      <c r="FG19" s="105">
        <f t="shared" si="23"/>
        <v>0</v>
      </c>
      <c r="FH19" s="429"/>
      <c r="FI19" s="106" t="str">
        <f t="shared" si="11"/>
        <v/>
      </c>
      <c r="FJ19" s="666"/>
      <c r="FK19" s="666"/>
      <c r="FL19" s="666"/>
      <c r="FM19" s="666"/>
      <c r="FN19" s="666"/>
      <c r="FO19" s="666"/>
      <c r="FP19" s="666"/>
      <c r="FQ19" s="666"/>
      <c r="FR19" s="666"/>
      <c r="FS19" s="667"/>
      <c r="FT19" s="107"/>
    </row>
    <row r="20" spans="6:176" ht="20.100000000000001" customHeight="1" x14ac:dyDescent="0.25">
      <c r="F20" s="3">
        <v>11</v>
      </c>
      <c r="H20" s="16"/>
      <c r="I20" s="94">
        <f t="shared" si="12"/>
        <v>0</v>
      </c>
      <c r="J20" s="120"/>
      <c r="K20" s="95" t="str">
        <f t="shared" si="0"/>
        <v/>
      </c>
      <c r="L20" s="668"/>
      <c r="M20" s="668"/>
      <c r="N20" s="668"/>
      <c r="O20" s="668"/>
      <c r="P20" s="668"/>
      <c r="Q20" s="668"/>
      <c r="R20" s="668"/>
      <c r="S20" s="668"/>
      <c r="T20" s="668"/>
      <c r="U20" s="669"/>
      <c r="V20" s="96"/>
      <c r="W20" s="97">
        <f t="shared" si="13"/>
        <v>0</v>
      </c>
      <c r="X20" s="121"/>
      <c r="Y20" s="98" t="str">
        <f t="shared" si="1"/>
        <v/>
      </c>
      <c r="Z20" s="670"/>
      <c r="AA20" s="670"/>
      <c r="AB20" s="670"/>
      <c r="AC20" s="670"/>
      <c r="AD20" s="670"/>
      <c r="AE20" s="670"/>
      <c r="AF20" s="670"/>
      <c r="AG20" s="670"/>
      <c r="AH20" s="670"/>
      <c r="AI20" s="671"/>
      <c r="AJ20" s="96"/>
      <c r="AK20" s="99">
        <f t="shared" si="14"/>
        <v>0</v>
      </c>
      <c r="AL20" s="122"/>
      <c r="AM20" s="100" t="str">
        <f t="shared" si="2"/>
        <v/>
      </c>
      <c r="AN20" s="672"/>
      <c r="AO20" s="672"/>
      <c r="AP20" s="672"/>
      <c r="AQ20" s="672"/>
      <c r="AR20" s="672"/>
      <c r="AS20" s="672"/>
      <c r="AT20" s="672"/>
      <c r="AU20" s="672"/>
      <c r="AV20" s="672"/>
      <c r="AW20" s="673"/>
      <c r="AX20" s="96"/>
      <c r="AY20" s="101">
        <f t="shared" si="15"/>
        <v>0</v>
      </c>
      <c r="AZ20" s="424"/>
      <c r="BA20" s="102" t="str">
        <f t="shared" si="3"/>
        <v/>
      </c>
      <c r="BB20" s="674"/>
      <c r="BC20" s="674"/>
      <c r="BD20" s="674"/>
      <c r="BE20" s="674"/>
      <c r="BF20" s="674"/>
      <c r="BG20" s="674"/>
      <c r="BH20" s="674"/>
      <c r="BI20" s="674"/>
      <c r="BJ20" s="674"/>
      <c r="BK20" s="675"/>
      <c r="BL20" s="96"/>
      <c r="BM20" s="103">
        <f t="shared" si="16"/>
        <v>0</v>
      </c>
      <c r="BN20" s="426"/>
      <c r="BO20" s="104" t="str">
        <f t="shared" si="4"/>
        <v/>
      </c>
      <c r="BP20" s="676"/>
      <c r="BQ20" s="676"/>
      <c r="BR20" s="676"/>
      <c r="BS20" s="676"/>
      <c r="BT20" s="676"/>
      <c r="BU20" s="676"/>
      <c r="BV20" s="676"/>
      <c r="BW20" s="676"/>
      <c r="BX20" s="676"/>
      <c r="BY20" s="677"/>
      <c r="BZ20" s="96"/>
      <c r="CA20" s="105">
        <f t="shared" si="17"/>
        <v>0</v>
      </c>
      <c r="CB20" s="429"/>
      <c r="CC20" s="106" t="str">
        <f t="shared" si="5"/>
        <v/>
      </c>
      <c r="CD20" s="666"/>
      <c r="CE20" s="666"/>
      <c r="CF20" s="666"/>
      <c r="CG20" s="666"/>
      <c r="CH20" s="666"/>
      <c r="CI20" s="666"/>
      <c r="CJ20" s="666"/>
      <c r="CK20" s="666"/>
      <c r="CL20" s="666"/>
      <c r="CM20" s="667"/>
      <c r="CN20" s="107"/>
      <c r="CO20" s="94">
        <f t="shared" si="18"/>
        <v>0</v>
      </c>
      <c r="CP20" s="120"/>
      <c r="CQ20" s="95" t="str">
        <f t="shared" si="6"/>
        <v/>
      </c>
      <c r="CR20" s="668"/>
      <c r="CS20" s="668"/>
      <c r="CT20" s="668"/>
      <c r="CU20" s="668"/>
      <c r="CV20" s="668"/>
      <c r="CW20" s="668"/>
      <c r="CX20" s="668"/>
      <c r="CY20" s="668"/>
      <c r="CZ20" s="668"/>
      <c r="DA20" s="669"/>
      <c r="DB20" s="96"/>
      <c r="DC20" s="97">
        <f t="shared" si="19"/>
        <v>0</v>
      </c>
      <c r="DD20" s="121"/>
      <c r="DE20" s="98" t="str">
        <f t="shared" si="7"/>
        <v/>
      </c>
      <c r="DF20" s="670"/>
      <c r="DG20" s="670"/>
      <c r="DH20" s="670"/>
      <c r="DI20" s="670"/>
      <c r="DJ20" s="670"/>
      <c r="DK20" s="670"/>
      <c r="DL20" s="670"/>
      <c r="DM20" s="670"/>
      <c r="DN20" s="670"/>
      <c r="DO20" s="671"/>
      <c r="DP20" s="96"/>
      <c r="DQ20" s="99">
        <f t="shared" si="20"/>
        <v>0</v>
      </c>
      <c r="DR20" s="122"/>
      <c r="DS20" s="100" t="str">
        <f t="shared" si="8"/>
        <v/>
      </c>
      <c r="DT20" s="672"/>
      <c r="DU20" s="672"/>
      <c r="DV20" s="672"/>
      <c r="DW20" s="672"/>
      <c r="DX20" s="672"/>
      <c r="DY20" s="672"/>
      <c r="DZ20" s="672"/>
      <c r="EA20" s="672"/>
      <c r="EB20" s="672"/>
      <c r="EC20" s="673"/>
      <c r="ED20" s="96"/>
      <c r="EE20" s="101">
        <f t="shared" si="21"/>
        <v>0</v>
      </c>
      <c r="EF20" s="424"/>
      <c r="EG20" s="102" t="str">
        <f t="shared" si="9"/>
        <v/>
      </c>
      <c r="EH20" s="674"/>
      <c r="EI20" s="674"/>
      <c r="EJ20" s="674"/>
      <c r="EK20" s="674"/>
      <c r="EL20" s="674"/>
      <c r="EM20" s="674"/>
      <c r="EN20" s="674"/>
      <c r="EO20" s="674"/>
      <c r="EP20" s="674"/>
      <c r="EQ20" s="675"/>
      <c r="ER20" s="96"/>
      <c r="ES20" s="103">
        <f t="shared" si="22"/>
        <v>0</v>
      </c>
      <c r="ET20" s="426"/>
      <c r="EU20" s="104" t="str">
        <f t="shared" si="10"/>
        <v/>
      </c>
      <c r="EV20" s="676"/>
      <c r="EW20" s="676"/>
      <c r="EX20" s="676"/>
      <c r="EY20" s="676"/>
      <c r="EZ20" s="676"/>
      <c r="FA20" s="676"/>
      <c r="FB20" s="676"/>
      <c r="FC20" s="676"/>
      <c r="FD20" s="676"/>
      <c r="FE20" s="677"/>
      <c r="FF20" s="96"/>
      <c r="FG20" s="105">
        <f t="shared" si="23"/>
        <v>0</v>
      </c>
      <c r="FH20" s="429"/>
      <c r="FI20" s="106" t="str">
        <f t="shared" si="11"/>
        <v/>
      </c>
      <c r="FJ20" s="666"/>
      <c r="FK20" s="666"/>
      <c r="FL20" s="666"/>
      <c r="FM20" s="666"/>
      <c r="FN20" s="666"/>
      <c r="FO20" s="666"/>
      <c r="FP20" s="666"/>
      <c r="FQ20" s="666"/>
      <c r="FR20" s="666"/>
      <c r="FS20" s="667"/>
      <c r="FT20" s="107"/>
    </row>
    <row r="21" spans="6:176" ht="20.100000000000001" customHeight="1" x14ac:dyDescent="0.25">
      <c r="F21" s="3">
        <v>12</v>
      </c>
      <c r="H21" s="16"/>
      <c r="I21" s="94">
        <f t="shared" si="12"/>
        <v>0</v>
      </c>
      <c r="J21" s="120"/>
      <c r="K21" s="95" t="str">
        <f t="shared" si="0"/>
        <v/>
      </c>
      <c r="L21" s="668"/>
      <c r="M21" s="668"/>
      <c r="N21" s="668"/>
      <c r="O21" s="668"/>
      <c r="P21" s="668"/>
      <c r="Q21" s="668"/>
      <c r="R21" s="668"/>
      <c r="S21" s="668"/>
      <c r="T21" s="668"/>
      <c r="U21" s="669"/>
      <c r="V21" s="96"/>
      <c r="W21" s="97">
        <f t="shared" si="13"/>
        <v>0</v>
      </c>
      <c r="X21" s="121"/>
      <c r="Y21" s="98" t="str">
        <f t="shared" si="1"/>
        <v/>
      </c>
      <c r="Z21" s="670"/>
      <c r="AA21" s="670"/>
      <c r="AB21" s="670"/>
      <c r="AC21" s="670"/>
      <c r="AD21" s="670"/>
      <c r="AE21" s="670"/>
      <c r="AF21" s="670"/>
      <c r="AG21" s="670"/>
      <c r="AH21" s="670"/>
      <c r="AI21" s="671"/>
      <c r="AJ21" s="96"/>
      <c r="AK21" s="99">
        <f t="shared" si="14"/>
        <v>0</v>
      </c>
      <c r="AL21" s="122"/>
      <c r="AM21" s="100" t="str">
        <f t="shared" si="2"/>
        <v/>
      </c>
      <c r="AN21" s="672"/>
      <c r="AO21" s="672"/>
      <c r="AP21" s="672"/>
      <c r="AQ21" s="672"/>
      <c r="AR21" s="672"/>
      <c r="AS21" s="672"/>
      <c r="AT21" s="672"/>
      <c r="AU21" s="672"/>
      <c r="AV21" s="672"/>
      <c r="AW21" s="673"/>
      <c r="AX21" s="96"/>
      <c r="AY21" s="101">
        <f t="shared" si="15"/>
        <v>0</v>
      </c>
      <c r="AZ21" s="424"/>
      <c r="BA21" s="102" t="str">
        <f t="shared" si="3"/>
        <v/>
      </c>
      <c r="BB21" s="674"/>
      <c r="BC21" s="674"/>
      <c r="BD21" s="674"/>
      <c r="BE21" s="674"/>
      <c r="BF21" s="674"/>
      <c r="BG21" s="674"/>
      <c r="BH21" s="674"/>
      <c r="BI21" s="674"/>
      <c r="BJ21" s="674"/>
      <c r="BK21" s="675"/>
      <c r="BL21" s="96"/>
      <c r="BM21" s="103">
        <f t="shared" si="16"/>
        <v>0</v>
      </c>
      <c r="BN21" s="426"/>
      <c r="BO21" s="104" t="str">
        <f t="shared" si="4"/>
        <v/>
      </c>
      <c r="BP21" s="676"/>
      <c r="BQ21" s="676"/>
      <c r="BR21" s="676"/>
      <c r="BS21" s="676"/>
      <c r="BT21" s="676"/>
      <c r="BU21" s="676"/>
      <c r="BV21" s="676"/>
      <c r="BW21" s="676"/>
      <c r="BX21" s="676"/>
      <c r="BY21" s="677"/>
      <c r="BZ21" s="96"/>
      <c r="CA21" s="105">
        <f t="shared" si="17"/>
        <v>0</v>
      </c>
      <c r="CB21" s="429"/>
      <c r="CC21" s="106" t="str">
        <f t="shared" si="5"/>
        <v/>
      </c>
      <c r="CD21" s="666"/>
      <c r="CE21" s="666"/>
      <c r="CF21" s="666"/>
      <c r="CG21" s="666"/>
      <c r="CH21" s="666"/>
      <c r="CI21" s="666"/>
      <c r="CJ21" s="666"/>
      <c r="CK21" s="666"/>
      <c r="CL21" s="666"/>
      <c r="CM21" s="667"/>
      <c r="CN21" s="107"/>
      <c r="CO21" s="94">
        <f t="shared" si="18"/>
        <v>0</v>
      </c>
      <c r="CP21" s="120"/>
      <c r="CQ21" s="95" t="str">
        <f t="shared" si="6"/>
        <v/>
      </c>
      <c r="CR21" s="668"/>
      <c r="CS21" s="668"/>
      <c r="CT21" s="668"/>
      <c r="CU21" s="668"/>
      <c r="CV21" s="668"/>
      <c r="CW21" s="668"/>
      <c r="CX21" s="668"/>
      <c r="CY21" s="668"/>
      <c r="CZ21" s="668"/>
      <c r="DA21" s="669"/>
      <c r="DB21" s="96"/>
      <c r="DC21" s="97">
        <f t="shared" si="19"/>
        <v>0</v>
      </c>
      <c r="DD21" s="121"/>
      <c r="DE21" s="98" t="str">
        <f t="shared" si="7"/>
        <v/>
      </c>
      <c r="DF21" s="670"/>
      <c r="DG21" s="670"/>
      <c r="DH21" s="670"/>
      <c r="DI21" s="670"/>
      <c r="DJ21" s="670"/>
      <c r="DK21" s="670"/>
      <c r="DL21" s="670"/>
      <c r="DM21" s="670"/>
      <c r="DN21" s="670"/>
      <c r="DO21" s="671"/>
      <c r="DP21" s="96"/>
      <c r="DQ21" s="99">
        <f t="shared" si="20"/>
        <v>0</v>
      </c>
      <c r="DR21" s="122"/>
      <c r="DS21" s="100" t="str">
        <f t="shared" si="8"/>
        <v/>
      </c>
      <c r="DT21" s="672"/>
      <c r="DU21" s="672"/>
      <c r="DV21" s="672"/>
      <c r="DW21" s="672"/>
      <c r="DX21" s="672"/>
      <c r="DY21" s="672"/>
      <c r="DZ21" s="672"/>
      <c r="EA21" s="672"/>
      <c r="EB21" s="672"/>
      <c r="EC21" s="673"/>
      <c r="ED21" s="96"/>
      <c r="EE21" s="101">
        <f t="shared" si="21"/>
        <v>0</v>
      </c>
      <c r="EF21" s="424"/>
      <c r="EG21" s="102" t="str">
        <f t="shared" si="9"/>
        <v/>
      </c>
      <c r="EH21" s="674"/>
      <c r="EI21" s="674"/>
      <c r="EJ21" s="674"/>
      <c r="EK21" s="674"/>
      <c r="EL21" s="674"/>
      <c r="EM21" s="674"/>
      <c r="EN21" s="674"/>
      <c r="EO21" s="674"/>
      <c r="EP21" s="674"/>
      <c r="EQ21" s="675"/>
      <c r="ER21" s="96"/>
      <c r="ES21" s="103">
        <f t="shared" si="22"/>
        <v>0</v>
      </c>
      <c r="ET21" s="426"/>
      <c r="EU21" s="104" t="str">
        <f t="shared" si="10"/>
        <v/>
      </c>
      <c r="EV21" s="676"/>
      <c r="EW21" s="676"/>
      <c r="EX21" s="676"/>
      <c r="EY21" s="676"/>
      <c r="EZ21" s="676"/>
      <c r="FA21" s="676"/>
      <c r="FB21" s="676"/>
      <c r="FC21" s="676"/>
      <c r="FD21" s="676"/>
      <c r="FE21" s="677"/>
      <c r="FF21" s="96"/>
      <c r="FG21" s="105">
        <f t="shared" si="23"/>
        <v>0</v>
      </c>
      <c r="FH21" s="429"/>
      <c r="FI21" s="106" t="str">
        <f t="shared" si="11"/>
        <v/>
      </c>
      <c r="FJ21" s="666"/>
      <c r="FK21" s="666"/>
      <c r="FL21" s="666"/>
      <c r="FM21" s="666"/>
      <c r="FN21" s="666"/>
      <c r="FO21" s="666"/>
      <c r="FP21" s="666"/>
      <c r="FQ21" s="666"/>
      <c r="FR21" s="666"/>
      <c r="FS21" s="667"/>
      <c r="FT21" s="107"/>
    </row>
    <row r="22" spans="6:176" ht="20.100000000000001" customHeight="1" x14ac:dyDescent="0.25">
      <c r="F22" s="3">
        <v>13</v>
      </c>
      <c r="H22" s="16"/>
      <c r="I22" s="94">
        <f t="shared" si="12"/>
        <v>0</v>
      </c>
      <c r="J22" s="120"/>
      <c r="K22" s="95" t="str">
        <f t="shared" si="0"/>
        <v/>
      </c>
      <c r="L22" s="668"/>
      <c r="M22" s="668"/>
      <c r="N22" s="668"/>
      <c r="O22" s="668"/>
      <c r="P22" s="668"/>
      <c r="Q22" s="668"/>
      <c r="R22" s="668"/>
      <c r="S22" s="668"/>
      <c r="T22" s="668"/>
      <c r="U22" s="669"/>
      <c r="V22" s="96"/>
      <c r="W22" s="97">
        <f t="shared" si="13"/>
        <v>0</v>
      </c>
      <c r="X22" s="121"/>
      <c r="Y22" s="98" t="str">
        <f t="shared" si="1"/>
        <v/>
      </c>
      <c r="Z22" s="670"/>
      <c r="AA22" s="670"/>
      <c r="AB22" s="670"/>
      <c r="AC22" s="670"/>
      <c r="AD22" s="670"/>
      <c r="AE22" s="670"/>
      <c r="AF22" s="670"/>
      <c r="AG22" s="670"/>
      <c r="AH22" s="670"/>
      <c r="AI22" s="671"/>
      <c r="AJ22" s="96"/>
      <c r="AK22" s="99">
        <f t="shared" si="14"/>
        <v>0</v>
      </c>
      <c r="AL22" s="122"/>
      <c r="AM22" s="100" t="str">
        <f t="shared" si="2"/>
        <v/>
      </c>
      <c r="AN22" s="672"/>
      <c r="AO22" s="672"/>
      <c r="AP22" s="672"/>
      <c r="AQ22" s="672"/>
      <c r="AR22" s="672"/>
      <c r="AS22" s="672"/>
      <c r="AT22" s="672"/>
      <c r="AU22" s="672"/>
      <c r="AV22" s="672"/>
      <c r="AW22" s="673"/>
      <c r="AX22" s="96"/>
      <c r="AY22" s="101">
        <f t="shared" si="15"/>
        <v>0</v>
      </c>
      <c r="AZ22" s="424"/>
      <c r="BA22" s="102" t="str">
        <f t="shared" si="3"/>
        <v/>
      </c>
      <c r="BB22" s="674"/>
      <c r="BC22" s="674"/>
      <c r="BD22" s="674"/>
      <c r="BE22" s="674"/>
      <c r="BF22" s="674"/>
      <c r="BG22" s="674"/>
      <c r="BH22" s="674"/>
      <c r="BI22" s="674"/>
      <c r="BJ22" s="674"/>
      <c r="BK22" s="675"/>
      <c r="BL22" s="96"/>
      <c r="BM22" s="103">
        <f t="shared" si="16"/>
        <v>0</v>
      </c>
      <c r="BN22" s="426"/>
      <c r="BO22" s="104" t="str">
        <f t="shared" si="4"/>
        <v/>
      </c>
      <c r="BP22" s="676"/>
      <c r="BQ22" s="676"/>
      <c r="BR22" s="676"/>
      <c r="BS22" s="676"/>
      <c r="BT22" s="676"/>
      <c r="BU22" s="676"/>
      <c r="BV22" s="676"/>
      <c r="BW22" s="676"/>
      <c r="BX22" s="676"/>
      <c r="BY22" s="677"/>
      <c r="BZ22" s="96"/>
      <c r="CA22" s="105">
        <f t="shared" si="17"/>
        <v>0</v>
      </c>
      <c r="CB22" s="429"/>
      <c r="CC22" s="106" t="str">
        <f t="shared" si="5"/>
        <v/>
      </c>
      <c r="CD22" s="666"/>
      <c r="CE22" s="666"/>
      <c r="CF22" s="666"/>
      <c r="CG22" s="666"/>
      <c r="CH22" s="666"/>
      <c r="CI22" s="666"/>
      <c r="CJ22" s="666"/>
      <c r="CK22" s="666"/>
      <c r="CL22" s="666"/>
      <c r="CM22" s="667"/>
      <c r="CN22" s="107"/>
      <c r="CO22" s="94">
        <f t="shared" si="18"/>
        <v>0</v>
      </c>
      <c r="CP22" s="120"/>
      <c r="CQ22" s="95" t="str">
        <f t="shared" si="6"/>
        <v/>
      </c>
      <c r="CR22" s="668"/>
      <c r="CS22" s="668"/>
      <c r="CT22" s="668"/>
      <c r="CU22" s="668"/>
      <c r="CV22" s="668"/>
      <c r="CW22" s="668"/>
      <c r="CX22" s="668"/>
      <c r="CY22" s="668"/>
      <c r="CZ22" s="668"/>
      <c r="DA22" s="669"/>
      <c r="DB22" s="96"/>
      <c r="DC22" s="97">
        <f t="shared" si="19"/>
        <v>0</v>
      </c>
      <c r="DD22" s="121"/>
      <c r="DE22" s="98" t="str">
        <f t="shared" si="7"/>
        <v/>
      </c>
      <c r="DF22" s="670"/>
      <c r="DG22" s="670"/>
      <c r="DH22" s="670"/>
      <c r="DI22" s="670"/>
      <c r="DJ22" s="670"/>
      <c r="DK22" s="670"/>
      <c r="DL22" s="670"/>
      <c r="DM22" s="670"/>
      <c r="DN22" s="670"/>
      <c r="DO22" s="671"/>
      <c r="DP22" s="96"/>
      <c r="DQ22" s="99">
        <f t="shared" si="20"/>
        <v>0</v>
      </c>
      <c r="DR22" s="122"/>
      <c r="DS22" s="100" t="str">
        <f t="shared" si="8"/>
        <v/>
      </c>
      <c r="DT22" s="672"/>
      <c r="DU22" s="672"/>
      <c r="DV22" s="672"/>
      <c r="DW22" s="672"/>
      <c r="DX22" s="672"/>
      <c r="DY22" s="672"/>
      <c r="DZ22" s="672"/>
      <c r="EA22" s="672"/>
      <c r="EB22" s="672"/>
      <c r="EC22" s="673"/>
      <c r="ED22" s="96"/>
      <c r="EE22" s="101">
        <f t="shared" si="21"/>
        <v>0</v>
      </c>
      <c r="EF22" s="424"/>
      <c r="EG22" s="102" t="str">
        <f t="shared" si="9"/>
        <v/>
      </c>
      <c r="EH22" s="674"/>
      <c r="EI22" s="674"/>
      <c r="EJ22" s="674"/>
      <c r="EK22" s="674"/>
      <c r="EL22" s="674"/>
      <c r="EM22" s="674"/>
      <c r="EN22" s="674"/>
      <c r="EO22" s="674"/>
      <c r="EP22" s="674"/>
      <c r="EQ22" s="675"/>
      <c r="ER22" s="96"/>
      <c r="ES22" s="103">
        <f t="shared" si="22"/>
        <v>0</v>
      </c>
      <c r="ET22" s="426"/>
      <c r="EU22" s="104" t="str">
        <f t="shared" si="10"/>
        <v/>
      </c>
      <c r="EV22" s="676"/>
      <c r="EW22" s="676"/>
      <c r="EX22" s="676"/>
      <c r="EY22" s="676"/>
      <c r="EZ22" s="676"/>
      <c r="FA22" s="676"/>
      <c r="FB22" s="676"/>
      <c r="FC22" s="676"/>
      <c r="FD22" s="676"/>
      <c r="FE22" s="677"/>
      <c r="FF22" s="96"/>
      <c r="FG22" s="105">
        <f t="shared" si="23"/>
        <v>0</v>
      </c>
      <c r="FH22" s="429"/>
      <c r="FI22" s="106" t="str">
        <f t="shared" si="11"/>
        <v/>
      </c>
      <c r="FJ22" s="666"/>
      <c r="FK22" s="666"/>
      <c r="FL22" s="666"/>
      <c r="FM22" s="666"/>
      <c r="FN22" s="666"/>
      <c r="FO22" s="666"/>
      <c r="FP22" s="666"/>
      <c r="FQ22" s="666"/>
      <c r="FR22" s="666"/>
      <c r="FS22" s="667"/>
      <c r="FT22" s="107"/>
    </row>
    <row r="23" spans="6:176" ht="20.100000000000001" customHeight="1" x14ac:dyDescent="0.25">
      <c r="F23" s="3">
        <v>14</v>
      </c>
      <c r="H23" s="16"/>
      <c r="I23" s="94">
        <f t="shared" si="12"/>
        <v>0</v>
      </c>
      <c r="J23" s="120"/>
      <c r="K23" s="95" t="str">
        <f t="shared" si="0"/>
        <v/>
      </c>
      <c r="L23" s="668"/>
      <c r="M23" s="668"/>
      <c r="N23" s="668"/>
      <c r="O23" s="668"/>
      <c r="P23" s="668"/>
      <c r="Q23" s="668"/>
      <c r="R23" s="668"/>
      <c r="S23" s="668"/>
      <c r="T23" s="668"/>
      <c r="U23" s="669"/>
      <c r="V23" s="96"/>
      <c r="W23" s="97">
        <f t="shared" si="13"/>
        <v>0</v>
      </c>
      <c r="X23" s="121"/>
      <c r="Y23" s="98" t="str">
        <f t="shared" si="1"/>
        <v/>
      </c>
      <c r="Z23" s="670"/>
      <c r="AA23" s="670"/>
      <c r="AB23" s="670"/>
      <c r="AC23" s="670"/>
      <c r="AD23" s="670"/>
      <c r="AE23" s="670"/>
      <c r="AF23" s="670"/>
      <c r="AG23" s="670"/>
      <c r="AH23" s="670"/>
      <c r="AI23" s="671"/>
      <c r="AJ23" s="96"/>
      <c r="AK23" s="99">
        <f t="shared" si="14"/>
        <v>0</v>
      </c>
      <c r="AL23" s="122"/>
      <c r="AM23" s="100" t="str">
        <f t="shared" si="2"/>
        <v/>
      </c>
      <c r="AN23" s="672"/>
      <c r="AO23" s="672"/>
      <c r="AP23" s="672"/>
      <c r="AQ23" s="672"/>
      <c r="AR23" s="672"/>
      <c r="AS23" s="672"/>
      <c r="AT23" s="672"/>
      <c r="AU23" s="672"/>
      <c r="AV23" s="672"/>
      <c r="AW23" s="673"/>
      <c r="AX23" s="96"/>
      <c r="AY23" s="101">
        <f t="shared" si="15"/>
        <v>0</v>
      </c>
      <c r="AZ23" s="424"/>
      <c r="BA23" s="102" t="str">
        <f t="shared" si="3"/>
        <v/>
      </c>
      <c r="BB23" s="674"/>
      <c r="BC23" s="674"/>
      <c r="BD23" s="674"/>
      <c r="BE23" s="674"/>
      <c r="BF23" s="674"/>
      <c r="BG23" s="674"/>
      <c r="BH23" s="674"/>
      <c r="BI23" s="674"/>
      <c r="BJ23" s="674"/>
      <c r="BK23" s="675"/>
      <c r="BL23" s="96"/>
      <c r="BM23" s="103">
        <f t="shared" si="16"/>
        <v>0</v>
      </c>
      <c r="BN23" s="426"/>
      <c r="BO23" s="104" t="str">
        <f t="shared" si="4"/>
        <v/>
      </c>
      <c r="BP23" s="676"/>
      <c r="BQ23" s="676"/>
      <c r="BR23" s="676"/>
      <c r="BS23" s="676"/>
      <c r="BT23" s="676"/>
      <c r="BU23" s="676"/>
      <c r="BV23" s="676"/>
      <c r="BW23" s="676"/>
      <c r="BX23" s="676"/>
      <c r="BY23" s="677"/>
      <c r="BZ23" s="96"/>
      <c r="CA23" s="105">
        <f t="shared" si="17"/>
        <v>0</v>
      </c>
      <c r="CB23" s="429"/>
      <c r="CC23" s="106" t="str">
        <f t="shared" si="5"/>
        <v/>
      </c>
      <c r="CD23" s="666"/>
      <c r="CE23" s="666"/>
      <c r="CF23" s="666"/>
      <c r="CG23" s="666"/>
      <c r="CH23" s="666"/>
      <c r="CI23" s="666"/>
      <c r="CJ23" s="666"/>
      <c r="CK23" s="666"/>
      <c r="CL23" s="666"/>
      <c r="CM23" s="667"/>
      <c r="CN23" s="107"/>
      <c r="CO23" s="94">
        <f t="shared" si="18"/>
        <v>0</v>
      </c>
      <c r="CP23" s="120"/>
      <c r="CQ23" s="95" t="str">
        <f t="shared" si="6"/>
        <v/>
      </c>
      <c r="CR23" s="668"/>
      <c r="CS23" s="668"/>
      <c r="CT23" s="668"/>
      <c r="CU23" s="668"/>
      <c r="CV23" s="668"/>
      <c r="CW23" s="668"/>
      <c r="CX23" s="668"/>
      <c r="CY23" s="668"/>
      <c r="CZ23" s="668"/>
      <c r="DA23" s="669"/>
      <c r="DB23" s="96"/>
      <c r="DC23" s="97">
        <f t="shared" si="19"/>
        <v>0</v>
      </c>
      <c r="DD23" s="121"/>
      <c r="DE23" s="98" t="str">
        <f t="shared" si="7"/>
        <v/>
      </c>
      <c r="DF23" s="670"/>
      <c r="DG23" s="670"/>
      <c r="DH23" s="670"/>
      <c r="DI23" s="670"/>
      <c r="DJ23" s="670"/>
      <c r="DK23" s="670"/>
      <c r="DL23" s="670"/>
      <c r="DM23" s="670"/>
      <c r="DN23" s="670"/>
      <c r="DO23" s="671"/>
      <c r="DP23" s="96"/>
      <c r="DQ23" s="99">
        <f t="shared" si="20"/>
        <v>0</v>
      </c>
      <c r="DR23" s="122"/>
      <c r="DS23" s="100" t="str">
        <f t="shared" si="8"/>
        <v/>
      </c>
      <c r="DT23" s="672"/>
      <c r="DU23" s="672"/>
      <c r="DV23" s="672"/>
      <c r="DW23" s="672"/>
      <c r="DX23" s="672"/>
      <c r="DY23" s="672"/>
      <c r="DZ23" s="672"/>
      <c r="EA23" s="672"/>
      <c r="EB23" s="672"/>
      <c r="EC23" s="673"/>
      <c r="ED23" s="96"/>
      <c r="EE23" s="101">
        <f t="shared" si="21"/>
        <v>0</v>
      </c>
      <c r="EF23" s="424"/>
      <c r="EG23" s="102" t="str">
        <f t="shared" si="9"/>
        <v/>
      </c>
      <c r="EH23" s="674"/>
      <c r="EI23" s="674"/>
      <c r="EJ23" s="674"/>
      <c r="EK23" s="674"/>
      <c r="EL23" s="674"/>
      <c r="EM23" s="674"/>
      <c r="EN23" s="674"/>
      <c r="EO23" s="674"/>
      <c r="EP23" s="674"/>
      <c r="EQ23" s="675"/>
      <c r="ER23" s="96"/>
      <c r="ES23" s="103">
        <f t="shared" si="22"/>
        <v>0</v>
      </c>
      <c r="ET23" s="426"/>
      <c r="EU23" s="104" t="str">
        <f t="shared" si="10"/>
        <v/>
      </c>
      <c r="EV23" s="676"/>
      <c r="EW23" s="676"/>
      <c r="EX23" s="676"/>
      <c r="EY23" s="676"/>
      <c r="EZ23" s="676"/>
      <c r="FA23" s="676"/>
      <c r="FB23" s="676"/>
      <c r="FC23" s="676"/>
      <c r="FD23" s="676"/>
      <c r="FE23" s="677"/>
      <c r="FF23" s="96"/>
      <c r="FG23" s="105">
        <f t="shared" si="23"/>
        <v>0</v>
      </c>
      <c r="FH23" s="429"/>
      <c r="FI23" s="106" t="str">
        <f t="shared" si="11"/>
        <v/>
      </c>
      <c r="FJ23" s="666"/>
      <c r="FK23" s="666"/>
      <c r="FL23" s="666"/>
      <c r="FM23" s="666"/>
      <c r="FN23" s="666"/>
      <c r="FO23" s="666"/>
      <c r="FP23" s="666"/>
      <c r="FQ23" s="666"/>
      <c r="FR23" s="666"/>
      <c r="FS23" s="667"/>
      <c r="FT23" s="107"/>
    </row>
    <row r="24" spans="6:176" ht="20.100000000000001" customHeight="1" x14ac:dyDescent="0.25">
      <c r="F24" s="3">
        <v>15</v>
      </c>
      <c r="H24" s="16"/>
      <c r="I24" s="94">
        <f t="shared" si="12"/>
        <v>0</v>
      </c>
      <c r="J24" s="120"/>
      <c r="K24" s="95" t="str">
        <f t="shared" si="0"/>
        <v/>
      </c>
      <c r="L24" s="668"/>
      <c r="M24" s="668"/>
      <c r="N24" s="668"/>
      <c r="O24" s="668"/>
      <c r="P24" s="668"/>
      <c r="Q24" s="668"/>
      <c r="R24" s="668"/>
      <c r="S24" s="668"/>
      <c r="T24" s="668"/>
      <c r="U24" s="669"/>
      <c r="V24" s="96"/>
      <c r="W24" s="97">
        <f t="shared" si="13"/>
        <v>0</v>
      </c>
      <c r="X24" s="121"/>
      <c r="Y24" s="98" t="str">
        <f t="shared" si="1"/>
        <v/>
      </c>
      <c r="Z24" s="670"/>
      <c r="AA24" s="670"/>
      <c r="AB24" s="670"/>
      <c r="AC24" s="670"/>
      <c r="AD24" s="670"/>
      <c r="AE24" s="670"/>
      <c r="AF24" s="670"/>
      <c r="AG24" s="670"/>
      <c r="AH24" s="670"/>
      <c r="AI24" s="671"/>
      <c r="AJ24" s="96"/>
      <c r="AK24" s="99">
        <f t="shared" si="14"/>
        <v>0</v>
      </c>
      <c r="AL24" s="122"/>
      <c r="AM24" s="100" t="str">
        <f t="shared" si="2"/>
        <v/>
      </c>
      <c r="AN24" s="672"/>
      <c r="AO24" s="672"/>
      <c r="AP24" s="672"/>
      <c r="AQ24" s="672"/>
      <c r="AR24" s="672"/>
      <c r="AS24" s="672"/>
      <c r="AT24" s="672"/>
      <c r="AU24" s="672"/>
      <c r="AV24" s="672"/>
      <c r="AW24" s="673"/>
      <c r="AX24" s="96"/>
      <c r="AY24" s="101">
        <f t="shared" si="15"/>
        <v>0</v>
      </c>
      <c r="AZ24" s="424"/>
      <c r="BA24" s="102" t="str">
        <f t="shared" si="3"/>
        <v/>
      </c>
      <c r="BB24" s="674"/>
      <c r="BC24" s="674"/>
      <c r="BD24" s="674"/>
      <c r="BE24" s="674"/>
      <c r="BF24" s="674"/>
      <c r="BG24" s="674"/>
      <c r="BH24" s="674"/>
      <c r="BI24" s="674"/>
      <c r="BJ24" s="674"/>
      <c r="BK24" s="675"/>
      <c r="BL24" s="96"/>
      <c r="BM24" s="103">
        <f t="shared" si="16"/>
        <v>0</v>
      </c>
      <c r="BN24" s="426"/>
      <c r="BO24" s="104" t="str">
        <f t="shared" si="4"/>
        <v/>
      </c>
      <c r="BP24" s="676"/>
      <c r="BQ24" s="676"/>
      <c r="BR24" s="676"/>
      <c r="BS24" s="676"/>
      <c r="BT24" s="676"/>
      <c r="BU24" s="676"/>
      <c r="BV24" s="676"/>
      <c r="BW24" s="676"/>
      <c r="BX24" s="676"/>
      <c r="BY24" s="677"/>
      <c r="BZ24" s="96"/>
      <c r="CA24" s="105">
        <f t="shared" si="17"/>
        <v>0</v>
      </c>
      <c r="CB24" s="429"/>
      <c r="CC24" s="106" t="str">
        <f t="shared" si="5"/>
        <v/>
      </c>
      <c r="CD24" s="666"/>
      <c r="CE24" s="666"/>
      <c r="CF24" s="666"/>
      <c r="CG24" s="666"/>
      <c r="CH24" s="666"/>
      <c r="CI24" s="666"/>
      <c r="CJ24" s="666"/>
      <c r="CK24" s="666"/>
      <c r="CL24" s="666"/>
      <c r="CM24" s="667"/>
      <c r="CN24" s="107"/>
      <c r="CO24" s="94">
        <f t="shared" si="18"/>
        <v>0</v>
      </c>
      <c r="CP24" s="120"/>
      <c r="CQ24" s="95" t="str">
        <f t="shared" si="6"/>
        <v/>
      </c>
      <c r="CR24" s="668"/>
      <c r="CS24" s="668"/>
      <c r="CT24" s="668"/>
      <c r="CU24" s="668"/>
      <c r="CV24" s="668"/>
      <c r="CW24" s="668"/>
      <c r="CX24" s="668"/>
      <c r="CY24" s="668"/>
      <c r="CZ24" s="668"/>
      <c r="DA24" s="669"/>
      <c r="DB24" s="96"/>
      <c r="DC24" s="97">
        <f t="shared" si="19"/>
        <v>0</v>
      </c>
      <c r="DD24" s="121"/>
      <c r="DE24" s="98" t="str">
        <f t="shared" si="7"/>
        <v/>
      </c>
      <c r="DF24" s="670"/>
      <c r="DG24" s="670"/>
      <c r="DH24" s="670"/>
      <c r="DI24" s="670"/>
      <c r="DJ24" s="670"/>
      <c r="DK24" s="670"/>
      <c r="DL24" s="670"/>
      <c r="DM24" s="670"/>
      <c r="DN24" s="670"/>
      <c r="DO24" s="671"/>
      <c r="DP24" s="96"/>
      <c r="DQ24" s="99">
        <f t="shared" si="20"/>
        <v>0</v>
      </c>
      <c r="DR24" s="122"/>
      <c r="DS24" s="100" t="str">
        <f t="shared" si="8"/>
        <v/>
      </c>
      <c r="DT24" s="672"/>
      <c r="DU24" s="672"/>
      <c r="DV24" s="672"/>
      <c r="DW24" s="672"/>
      <c r="DX24" s="672"/>
      <c r="DY24" s="672"/>
      <c r="DZ24" s="672"/>
      <c r="EA24" s="672"/>
      <c r="EB24" s="672"/>
      <c r="EC24" s="673"/>
      <c r="ED24" s="96"/>
      <c r="EE24" s="101">
        <f t="shared" si="21"/>
        <v>0</v>
      </c>
      <c r="EF24" s="424"/>
      <c r="EG24" s="102" t="str">
        <f t="shared" si="9"/>
        <v/>
      </c>
      <c r="EH24" s="674"/>
      <c r="EI24" s="674"/>
      <c r="EJ24" s="674"/>
      <c r="EK24" s="674"/>
      <c r="EL24" s="674"/>
      <c r="EM24" s="674"/>
      <c r="EN24" s="674"/>
      <c r="EO24" s="674"/>
      <c r="EP24" s="674"/>
      <c r="EQ24" s="675"/>
      <c r="ER24" s="96"/>
      <c r="ES24" s="103">
        <f t="shared" si="22"/>
        <v>0</v>
      </c>
      <c r="ET24" s="426"/>
      <c r="EU24" s="104" t="str">
        <f t="shared" si="10"/>
        <v/>
      </c>
      <c r="EV24" s="676"/>
      <c r="EW24" s="676"/>
      <c r="EX24" s="676"/>
      <c r="EY24" s="676"/>
      <c r="EZ24" s="676"/>
      <c r="FA24" s="676"/>
      <c r="FB24" s="676"/>
      <c r="FC24" s="676"/>
      <c r="FD24" s="676"/>
      <c r="FE24" s="677"/>
      <c r="FF24" s="96"/>
      <c r="FG24" s="105">
        <f t="shared" si="23"/>
        <v>0</v>
      </c>
      <c r="FH24" s="429"/>
      <c r="FI24" s="106" t="str">
        <f t="shared" si="11"/>
        <v/>
      </c>
      <c r="FJ24" s="666"/>
      <c r="FK24" s="666"/>
      <c r="FL24" s="666"/>
      <c r="FM24" s="666"/>
      <c r="FN24" s="666"/>
      <c r="FO24" s="666"/>
      <c r="FP24" s="666"/>
      <c r="FQ24" s="666"/>
      <c r="FR24" s="666"/>
      <c r="FS24" s="667"/>
      <c r="FT24" s="107"/>
    </row>
    <row r="25" spans="6:176" ht="20.100000000000001" customHeight="1" x14ac:dyDescent="0.25">
      <c r="F25" s="3">
        <v>16</v>
      </c>
      <c r="H25" s="16"/>
      <c r="I25" s="94">
        <f t="shared" si="12"/>
        <v>0</v>
      </c>
      <c r="J25" s="120"/>
      <c r="K25" s="95" t="str">
        <f t="shared" si="0"/>
        <v/>
      </c>
      <c r="L25" s="668"/>
      <c r="M25" s="668"/>
      <c r="N25" s="668"/>
      <c r="O25" s="668"/>
      <c r="P25" s="668"/>
      <c r="Q25" s="668"/>
      <c r="R25" s="668"/>
      <c r="S25" s="668"/>
      <c r="T25" s="668"/>
      <c r="U25" s="669"/>
      <c r="V25" s="96"/>
      <c r="W25" s="97">
        <f t="shared" si="13"/>
        <v>0</v>
      </c>
      <c r="X25" s="121"/>
      <c r="Y25" s="98" t="str">
        <f t="shared" si="1"/>
        <v/>
      </c>
      <c r="Z25" s="670"/>
      <c r="AA25" s="670"/>
      <c r="AB25" s="670"/>
      <c r="AC25" s="670"/>
      <c r="AD25" s="670"/>
      <c r="AE25" s="670"/>
      <c r="AF25" s="670"/>
      <c r="AG25" s="670"/>
      <c r="AH25" s="670"/>
      <c r="AI25" s="671"/>
      <c r="AJ25" s="96"/>
      <c r="AK25" s="99">
        <f t="shared" si="14"/>
        <v>0</v>
      </c>
      <c r="AL25" s="122"/>
      <c r="AM25" s="100" t="str">
        <f t="shared" si="2"/>
        <v/>
      </c>
      <c r="AN25" s="672"/>
      <c r="AO25" s="672"/>
      <c r="AP25" s="672"/>
      <c r="AQ25" s="672"/>
      <c r="AR25" s="672"/>
      <c r="AS25" s="672"/>
      <c r="AT25" s="672"/>
      <c r="AU25" s="672"/>
      <c r="AV25" s="672"/>
      <c r="AW25" s="673"/>
      <c r="AX25" s="96"/>
      <c r="AY25" s="101">
        <f t="shared" si="15"/>
        <v>0</v>
      </c>
      <c r="AZ25" s="424"/>
      <c r="BA25" s="102" t="str">
        <f t="shared" si="3"/>
        <v/>
      </c>
      <c r="BB25" s="674"/>
      <c r="BC25" s="674"/>
      <c r="BD25" s="674"/>
      <c r="BE25" s="674"/>
      <c r="BF25" s="674"/>
      <c r="BG25" s="674"/>
      <c r="BH25" s="674"/>
      <c r="BI25" s="674"/>
      <c r="BJ25" s="674"/>
      <c r="BK25" s="675"/>
      <c r="BL25" s="96"/>
      <c r="BM25" s="103">
        <f t="shared" si="16"/>
        <v>0</v>
      </c>
      <c r="BN25" s="426"/>
      <c r="BO25" s="104" t="str">
        <f t="shared" si="4"/>
        <v/>
      </c>
      <c r="BP25" s="676"/>
      <c r="BQ25" s="676"/>
      <c r="BR25" s="676"/>
      <c r="BS25" s="676"/>
      <c r="BT25" s="676"/>
      <c r="BU25" s="676"/>
      <c r="BV25" s="676"/>
      <c r="BW25" s="676"/>
      <c r="BX25" s="676"/>
      <c r="BY25" s="677"/>
      <c r="BZ25" s="96"/>
      <c r="CA25" s="105">
        <f t="shared" si="17"/>
        <v>0</v>
      </c>
      <c r="CB25" s="429"/>
      <c r="CC25" s="106" t="str">
        <f t="shared" si="5"/>
        <v/>
      </c>
      <c r="CD25" s="666"/>
      <c r="CE25" s="666"/>
      <c r="CF25" s="666"/>
      <c r="CG25" s="666"/>
      <c r="CH25" s="666"/>
      <c r="CI25" s="666"/>
      <c r="CJ25" s="666"/>
      <c r="CK25" s="666"/>
      <c r="CL25" s="666"/>
      <c r="CM25" s="667"/>
      <c r="CN25" s="107"/>
      <c r="CO25" s="94">
        <f t="shared" si="18"/>
        <v>0</v>
      </c>
      <c r="CP25" s="120"/>
      <c r="CQ25" s="95" t="str">
        <f t="shared" si="6"/>
        <v/>
      </c>
      <c r="CR25" s="668"/>
      <c r="CS25" s="668"/>
      <c r="CT25" s="668"/>
      <c r="CU25" s="668"/>
      <c r="CV25" s="668"/>
      <c r="CW25" s="668"/>
      <c r="CX25" s="668"/>
      <c r="CY25" s="668"/>
      <c r="CZ25" s="668"/>
      <c r="DA25" s="669"/>
      <c r="DB25" s="96"/>
      <c r="DC25" s="97">
        <f t="shared" si="19"/>
        <v>0</v>
      </c>
      <c r="DD25" s="121"/>
      <c r="DE25" s="98" t="str">
        <f t="shared" si="7"/>
        <v/>
      </c>
      <c r="DF25" s="670"/>
      <c r="DG25" s="670"/>
      <c r="DH25" s="670"/>
      <c r="DI25" s="670"/>
      <c r="DJ25" s="670"/>
      <c r="DK25" s="670"/>
      <c r="DL25" s="670"/>
      <c r="DM25" s="670"/>
      <c r="DN25" s="670"/>
      <c r="DO25" s="671"/>
      <c r="DP25" s="96"/>
      <c r="DQ25" s="99">
        <f t="shared" si="20"/>
        <v>0</v>
      </c>
      <c r="DR25" s="122"/>
      <c r="DS25" s="100" t="str">
        <f t="shared" si="8"/>
        <v/>
      </c>
      <c r="DT25" s="672"/>
      <c r="DU25" s="672"/>
      <c r="DV25" s="672"/>
      <c r="DW25" s="672"/>
      <c r="DX25" s="672"/>
      <c r="DY25" s="672"/>
      <c r="DZ25" s="672"/>
      <c r="EA25" s="672"/>
      <c r="EB25" s="672"/>
      <c r="EC25" s="673"/>
      <c r="ED25" s="96"/>
      <c r="EE25" s="101">
        <f t="shared" si="21"/>
        <v>0</v>
      </c>
      <c r="EF25" s="424"/>
      <c r="EG25" s="102" t="str">
        <f t="shared" si="9"/>
        <v/>
      </c>
      <c r="EH25" s="674"/>
      <c r="EI25" s="674"/>
      <c r="EJ25" s="674"/>
      <c r="EK25" s="674"/>
      <c r="EL25" s="674"/>
      <c r="EM25" s="674"/>
      <c r="EN25" s="674"/>
      <c r="EO25" s="674"/>
      <c r="EP25" s="674"/>
      <c r="EQ25" s="675"/>
      <c r="ER25" s="96"/>
      <c r="ES25" s="103">
        <f t="shared" si="22"/>
        <v>0</v>
      </c>
      <c r="ET25" s="426"/>
      <c r="EU25" s="104" t="str">
        <f t="shared" si="10"/>
        <v/>
      </c>
      <c r="EV25" s="676"/>
      <c r="EW25" s="676"/>
      <c r="EX25" s="676"/>
      <c r="EY25" s="676"/>
      <c r="EZ25" s="676"/>
      <c r="FA25" s="676"/>
      <c r="FB25" s="676"/>
      <c r="FC25" s="676"/>
      <c r="FD25" s="676"/>
      <c r="FE25" s="677"/>
      <c r="FF25" s="96"/>
      <c r="FG25" s="105">
        <f t="shared" si="23"/>
        <v>0</v>
      </c>
      <c r="FH25" s="429"/>
      <c r="FI25" s="106" t="str">
        <f t="shared" si="11"/>
        <v/>
      </c>
      <c r="FJ25" s="666"/>
      <c r="FK25" s="666"/>
      <c r="FL25" s="666"/>
      <c r="FM25" s="666"/>
      <c r="FN25" s="666"/>
      <c r="FO25" s="666"/>
      <c r="FP25" s="666"/>
      <c r="FQ25" s="666"/>
      <c r="FR25" s="666"/>
      <c r="FS25" s="667"/>
      <c r="FT25" s="107"/>
    </row>
    <row r="26" spans="6:176" ht="20.100000000000001" customHeight="1" x14ac:dyDescent="0.25">
      <c r="F26" s="3">
        <v>17</v>
      </c>
      <c r="H26" s="16"/>
      <c r="I26" s="94">
        <f t="shared" si="12"/>
        <v>0</v>
      </c>
      <c r="J26" s="120"/>
      <c r="K26" s="95" t="str">
        <f t="shared" si="0"/>
        <v/>
      </c>
      <c r="L26" s="668"/>
      <c r="M26" s="668"/>
      <c r="N26" s="668"/>
      <c r="O26" s="668"/>
      <c r="P26" s="668"/>
      <c r="Q26" s="668"/>
      <c r="R26" s="668"/>
      <c r="S26" s="668"/>
      <c r="T26" s="668"/>
      <c r="U26" s="669"/>
      <c r="V26" s="96"/>
      <c r="W26" s="97">
        <f t="shared" si="13"/>
        <v>0</v>
      </c>
      <c r="X26" s="121"/>
      <c r="Y26" s="98" t="str">
        <f t="shared" si="1"/>
        <v/>
      </c>
      <c r="Z26" s="670"/>
      <c r="AA26" s="670"/>
      <c r="AB26" s="670"/>
      <c r="AC26" s="670"/>
      <c r="AD26" s="670"/>
      <c r="AE26" s="670"/>
      <c r="AF26" s="670"/>
      <c r="AG26" s="670"/>
      <c r="AH26" s="670"/>
      <c r="AI26" s="671"/>
      <c r="AJ26" s="96"/>
      <c r="AK26" s="99">
        <f t="shared" si="14"/>
        <v>0</v>
      </c>
      <c r="AL26" s="122"/>
      <c r="AM26" s="100" t="str">
        <f t="shared" si="2"/>
        <v/>
      </c>
      <c r="AN26" s="672"/>
      <c r="AO26" s="672"/>
      <c r="AP26" s="672"/>
      <c r="AQ26" s="672"/>
      <c r="AR26" s="672"/>
      <c r="AS26" s="672"/>
      <c r="AT26" s="672"/>
      <c r="AU26" s="672"/>
      <c r="AV26" s="672"/>
      <c r="AW26" s="673"/>
      <c r="AX26" s="96"/>
      <c r="AY26" s="101">
        <f t="shared" si="15"/>
        <v>0</v>
      </c>
      <c r="AZ26" s="424"/>
      <c r="BA26" s="102" t="str">
        <f t="shared" si="3"/>
        <v/>
      </c>
      <c r="BB26" s="674"/>
      <c r="BC26" s="674"/>
      <c r="BD26" s="674"/>
      <c r="BE26" s="674"/>
      <c r="BF26" s="674"/>
      <c r="BG26" s="674"/>
      <c r="BH26" s="674"/>
      <c r="BI26" s="674"/>
      <c r="BJ26" s="674"/>
      <c r="BK26" s="675"/>
      <c r="BL26" s="96"/>
      <c r="BM26" s="103">
        <f t="shared" si="16"/>
        <v>0</v>
      </c>
      <c r="BN26" s="426"/>
      <c r="BO26" s="104" t="str">
        <f t="shared" si="4"/>
        <v/>
      </c>
      <c r="BP26" s="676"/>
      <c r="BQ26" s="676"/>
      <c r="BR26" s="676"/>
      <c r="BS26" s="676"/>
      <c r="BT26" s="676"/>
      <c r="BU26" s="676"/>
      <c r="BV26" s="676"/>
      <c r="BW26" s="676"/>
      <c r="BX26" s="676"/>
      <c r="BY26" s="677"/>
      <c r="BZ26" s="96"/>
      <c r="CA26" s="105">
        <f t="shared" si="17"/>
        <v>0</v>
      </c>
      <c r="CB26" s="429"/>
      <c r="CC26" s="106" t="str">
        <f t="shared" si="5"/>
        <v/>
      </c>
      <c r="CD26" s="666"/>
      <c r="CE26" s="666"/>
      <c r="CF26" s="666"/>
      <c r="CG26" s="666"/>
      <c r="CH26" s="666"/>
      <c r="CI26" s="666"/>
      <c r="CJ26" s="666"/>
      <c r="CK26" s="666"/>
      <c r="CL26" s="666"/>
      <c r="CM26" s="667"/>
      <c r="CN26" s="107"/>
      <c r="CO26" s="94">
        <f t="shared" si="18"/>
        <v>0</v>
      </c>
      <c r="CP26" s="120"/>
      <c r="CQ26" s="95" t="str">
        <f t="shared" si="6"/>
        <v/>
      </c>
      <c r="CR26" s="668"/>
      <c r="CS26" s="668"/>
      <c r="CT26" s="668"/>
      <c r="CU26" s="668"/>
      <c r="CV26" s="668"/>
      <c r="CW26" s="668"/>
      <c r="CX26" s="668"/>
      <c r="CY26" s="668"/>
      <c r="CZ26" s="668"/>
      <c r="DA26" s="669"/>
      <c r="DB26" s="96"/>
      <c r="DC26" s="97">
        <f t="shared" si="19"/>
        <v>0</v>
      </c>
      <c r="DD26" s="121"/>
      <c r="DE26" s="98" t="str">
        <f t="shared" si="7"/>
        <v/>
      </c>
      <c r="DF26" s="670"/>
      <c r="DG26" s="670"/>
      <c r="DH26" s="670"/>
      <c r="DI26" s="670"/>
      <c r="DJ26" s="670"/>
      <c r="DK26" s="670"/>
      <c r="DL26" s="670"/>
      <c r="DM26" s="670"/>
      <c r="DN26" s="670"/>
      <c r="DO26" s="671"/>
      <c r="DP26" s="96"/>
      <c r="DQ26" s="99">
        <f t="shared" si="20"/>
        <v>0</v>
      </c>
      <c r="DR26" s="122"/>
      <c r="DS26" s="100" t="str">
        <f t="shared" si="8"/>
        <v/>
      </c>
      <c r="DT26" s="672"/>
      <c r="DU26" s="672"/>
      <c r="DV26" s="672"/>
      <c r="DW26" s="672"/>
      <c r="DX26" s="672"/>
      <c r="DY26" s="672"/>
      <c r="DZ26" s="672"/>
      <c r="EA26" s="672"/>
      <c r="EB26" s="672"/>
      <c r="EC26" s="673"/>
      <c r="ED26" s="96"/>
      <c r="EE26" s="101">
        <f t="shared" si="21"/>
        <v>0</v>
      </c>
      <c r="EF26" s="424"/>
      <c r="EG26" s="102" t="str">
        <f t="shared" si="9"/>
        <v/>
      </c>
      <c r="EH26" s="674"/>
      <c r="EI26" s="674"/>
      <c r="EJ26" s="674"/>
      <c r="EK26" s="674"/>
      <c r="EL26" s="674"/>
      <c r="EM26" s="674"/>
      <c r="EN26" s="674"/>
      <c r="EO26" s="674"/>
      <c r="EP26" s="674"/>
      <c r="EQ26" s="675"/>
      <c r="ER26" s="96"/>
      <c r="ES26" s="103">
        <f t="shared" si="22"/>
        <v>0</v>
      </c>
      <c r="ET26" s="426"/>
      <c r="EU26" s="104" t="str">
        <f t="shared" si="10"/>
        <v/>
      </c>
      <c r="EV26" s="676"/>
      <c r="EW26" s="676"/>
      <c r="EX26" s="676"/>
      <c r="EY26" s="676"/>
      <c r="EZ26" s="676"/>
      <c r="FA26" s="676"/>
      <c r="FB26" s="676"/>
      <c r="FC26" s="676"/>
      <c r="FD26" s="676"/>
      <c r="FE26" s="677"/>
      <c r="FF26" s="96"/>
      <c r="FG26" s="105">
        <f t="shared" si="23"/>
        <v>0</v>
      </c>
      <c r="FH26" s="429"/>
      <c r="FI26" s="106" t="str">
        <f t="shared" si="11"/>
        <v/>
      </c>
      <c r="FJ26" s="666"/>
      <c r="FK26" s="666"/>
      <c r="FL26" s="666"/>
      <c r="FM26" s="666"/>
      <c r="FN26" s="666"/>
      <c r="FO26" s="666"/>
      <c r="FP26" s="666"/>
      <c r="FQ26" s="666"/>
      <c r="FR26" s="666"/>
      <c r="FS26" s="667"/>
      <c r="FT26" s="107"/>
    </row>
    <row r="27" spans="6:176" ht="20.100000000000001" customHeight="1" x14ac:dyDescent="0.25">
      <c r="F27" s="3">
        <v>18</v>
      </c>
      <c r="H27" s="16"/>
      <c r="I27" s="94">
        <f t="shared" si="12"/>
        <v>0</v>
      </c>
      <c r="J27" s="120"/>
      <c r="K27" s="95" t="str">
        <f t="shared" si="0"/>
        <v/>
      </c>
      <c r="L27" s="668"/>
      <c r="M27" s="668"/>
      <c r="N27" s="668"/>
      <c r="O27" s="668"/>
      <c r="P27" s="668"/>
      <c r="Q27" s="668"/>
      <c r="R27" s="668"/>
      <c r="S27" s="668"/>
      <c r="T27" s="668"/>
      <c r="U27" s="669"/>
      <c r="V27" s="96"/>
      <c r="W27" s="97">
        <f t="shared" si="13"/>
        <v>0</v>
      </c>
      <c r="X27" s="121"/>
      <c r="Y27" s="98" t="str">
        <f t="shared" si="1"/>
        <v/>
      </c>
      <c r="Z27" s="670"/>
      <c r="AA27" s="670"/>
      <c r="AB27" s="670"/>
      <c r="AC27" s="670"/>
      <c r="AD27" s="670"/>
      <c r="AE27" s="670"/>
      <c r="AF27" s="670"/>
      <c r="AG27" s="670"/>
      <c r="AH27" s="670"/>
      <c r="AI27" s="671"/>
      <c r="AJ27" s="96"/>
      <c r="AK27" s="99">
        <f t="shared" si="14"/>
        <v>0</v>
      </c>
      <c r="AL27" s="122"/>
      <c r="AM27" s="100" t="str">
        <f t="shared" si="2"/>
        <v/>
      </c>
      <c r="AN27" s="672"/>
      <c r="AO27" s="672"/>
      <c r="AP27" s="672"/>
      <c r="AQ27" s="672"/>
      <c r="AR27" s="672"/>
      <c r="AS27" s="672"/>
      <c r="AT27" s="672"/>
      <c r="AU27" s="672"/>
      <c r="AV27" s="672"/>
      <c r="AW27" s="673"/>
      <c r="AX27" s="96"/>
      <c r="AY27" s="101">
        <f t="shared" si="15"/>
        <v>0</v>
      </c>
      <c r="AZ27" s="424"/>
      <c r="BA27" s="102" t="str">
        <f t="shared" si="3"/>
        <v/>
      </c>
      <c r="BB27" s="674"/>
      <c r="BC27" s="674"/>
      <c r="BD27" s="674"/>
      <c r="BE27" s="674"/>
      <c r="BF27" s="674"/>
      <c r="BG27" s="674"/>
      <c r="BH27" s="674"/>
      <c r="BI27" s="674"/>
      <c r="BJ27" s="674"/>
      <c r="BK27" s="675"/>
      <c r="BL27" s="96"/>
      <c r="BM27" s="103">
        <f t="shared" si="16"/>
        <v>0</v>
      </c>
      <c r="BN27" s="426"/>
      <c r="BO27" s="104" t="str">
        <f t="shared" si="4"/>
        <v/>
      </c>
      <c r="BP27" s="676"/>
      <c r="BQ27" s="676"/>
      <c r="BR27" s="676"/>
      <c r="BS27" s="676"/>
      <c r="BT27" s="676"/>
      <c r="BU27" s="676"/>
      <c r="BV27" s="676"/>
      <c r="BW27" s="676"/>
      <c r="BX27" s="676"/>
      <c r="BY27" s="677"/>
      <c r="BZ27" s="96"/>
      <c r="CA27" s="105">
        <f t="shared" si="17"/>
        <v>0</v>
      </c>
      <c r="CB27" s="429"/>
      <c r="CC27" s="106" t="str">
        <f t="shared" si="5"/>
        <v/>
      </c>
      <c r="CD27" s="666"/>
      <c r="CE27" s="666"/>
      <c r="CF27" s="666"/>
      <c r="CG27" s="666"/>
      <c r="CH27" s="666"/>
      <c r="CI27" s="666"/>
      <c r="CJ27" s="666"/>
      <c r="CK27" s="666"/>
      <c r="CL27" s="666"/>
      <c r="CM27" s="667"/>
      <c r="CN27" s="107"/>
      <c r="CO27" s="94">
        <f t="shared" si="18"/>
        <v>0</v>
      </c>
      <c r="CP27" s="120"/>
      <c r="CQ27" s="95" t="str">
        <f t="shared" si="6"/>
        <v/>
      </c>
      <c r="CR27" s="668"/>
      <c r="CS27" s="668"/>
      <c r="CT27" s="668"/>
      <c r="CU27" s="668"/>
      <c r="CV27" s="668"/>
      <c r="CW27" s="668"/>
      <c r="CX27" s="668"/>
      <c r="CY27" s="668"/>
      <c r="CZ27" s="668"/>
      <c r="DA27" s="669"/>
      <c r="DB27" s="96"/>
      <c r="DC27" s="97">
        <f t="shared" si="19"/>
        <v>0</v>
      </c>
      <c r="DD27" s="121"/>
      <c r="DE27" s="98" t="str">
        <f t="shared" si="7"/>
        <v/>
      </c>
      <c r="DF27" s="670"/>
      <c r="DG27" s="670"/>
      <c r="DH27" s="670"/>
      <c r="DI27" s="670"/>
      <c r="DJ27" s="670"/>
      <c r="DK27" s="670"/>
      <c r="DL27" s="670"/>
      <c r="DM27" s="670"/>
      <c r="DN27" s="670"/>
      <c r="DO27" s="671"/>
      <c r="DP27" s="96"/>
      <c r="DQ27" s="99">
        <f t="shared" si="20"/>
        <v>0</v>
      </c>
      <c r="DR27" s="122"/>
      <c r="DS27" s="100" t="str">
        <f t="shared" si="8"/>
        <v/>
      </c>
      <c r="DT27" s="672"/>
      <c r="DU27" s="672"/>
      <c r="DV27" s="672"/>
      <c r="DW27" s="672"/>
      <c r="DX27" s="672"/>
      <c r="DY27" s="672"/>
      <c r="DZ27" s="672"/>
      <c r="EA27" s="672"/>
      <c r="EB27" s="672"/>
      <c r="EC27" s="673"/>
      <c r="ED27" s="96"/>
      <c r="EE27" s="101">
        <f t="shared" si="21"/>
        <v>0</v>
      </c>
      <c r="EF27" s="424"/>
      <c r="EG27" s="102" t="str">
        <f t="shared" si="9"/>
        <v/>
      </c>
      <c r="EH27" s="674"/>
      <c r="EI27" s="674"/>
      <c r="EJ27" s="674"/>
      <c r="EK27" s="674"/>
      <c r="EL27" s="674"/>
      <c r="EM27" s="674"/>
      <c r="EN27" s="674"/>
      <c r="EO27" s="674"/>
      <c r="EP27" s="674"/>
      <c r="EQ27" s="675"/>
      <c r="ER27" s="96"/>
      <c r="ES27" s="103">
        <f t="shared" si="22"/>
        <v>0</v>
      </c>
      <c r="ET27" s="426"/>
      <c r="EU27" s="104" t="str">
        <f t="shared" si="10"/>
        <v/>
      </c>
      <c r="EV27" s="676"/>
      <c r="EW27" s="676"/>
      <c r="EX27" s="676"/>
      <c r="EY27" s="676"/>
      <c r="EZ27" s="676"/>
      <c r="FA27" s="676"/>
      <c r="FB27" s="676"/>
      <c r="FC27" s="676"/>
      <c r="FD27" s="676"/>
      <c r="FE27" s="677"/>
      <c r="FF27" s="96"/>
      <c r="FG27" s="105">
        <f t="shared" si="23"/>
        <v>0</v>
      </c>
      <c r="FH27" s="429"/>
      <c r="FI27" s="106" t="str">
        <f t="shared" si="11"/>
        <v/>
      </c>
      <c r="FJ27" s="666"/>
      <c r="FK27" s="666"/>
      <c r="FL27" s="666"/>
      <c r="FM27" s="666"/>
      <c r="FN27" s="666"/>
      <c r="FO27" s="666"/>
      <c r="FP27" s="666"/>
      <c r="FQ27" s="666"/>
      <c r="FR27" s="666"/>
      <c r="FS27" s="667"/>
      <c r="FT27" s="107"/>
    </row>
    <row r="28" spans="6:176" ht="20.100000000000001" customHeight="1" x14ac:dyDescent="0.25">
      <c r="F28" s="3">
        <v>19</v>
      </c>
      <c r="H28" s="16"/>
      <c r="I28" s="94">
        <f t="shared" si="12"/>
        <v>0</v>
      </c>
      <c r="J28" s="120"/>
      <c r="K28" s="95" t="str">
        <f t="shared" si="0"/>
        <v/>
      </c>
      <c r="L28" s="668"/>
      <c r="M28" s="668"/>
      <c r="N28" s="668"/>
      <c r="O28" s="668"/>
      <c r="P28" s="668"/>
      <c r="Q28" s="668"/>
      <c r="R28" s="668"/>
      <c r="S28" s="668"/>
      <c r="T28" s="668"/>
      <c r="U28" s="669"/>
      <c r="V28" s="96"/>
      <c r="W28" s="97">
        <f t="shared" si="13"/>
        <v>0</v>
      </c>
      <c r="X28" s="121"/>
      <c r="Y28" s="98" t="str">
        <f t="shared" si="1"/>
        <v/>
      </c>
      <c r="Z28" s="670"/>
      <c r="AA28" s="670"/>
      <c r="AB28" s="670"/>
      <c r="AC28" s="670"/>
      <c r="AD28" s="670"/>
      <c r="AE28" s="670"/>
      <c r="AF28" s="670"/>
      <c r="AG28" s="670"/>
      <c r="AH28" s="670"/>
      <c r="AI28" s="671"/>
      <c r="AJ28" s="96"/>
      <c r="AK28" s="99">
        <f t="shared" si="14"/>
        <v>0</v>
      </c>
      <c r="AL28" s="122"/>
      <c r="AM28" s="100" t="str">
        <f t="shared" si="2"/>
        <v/>
      </c>
      <c r="AN28" s="672"/>
      <c r="AO28" s="672"/>
      <c r="AP28" s="672"/>
      <c r="AQ28" s="672"/>
      <c r="AR28" s="672"/>
      <c r="AS28" s="672"/>
      <c r="AT28" s="672"/>
      <c r="AU28" s="672"/>
      <c r="AV28" s="672"/>
      <c r="AW28" s="673"/>
      <c r="AX28" s="96"/>
      <c r="AY28" s="101">
        <f t="shared" si="15"/>
        <v>0</v>
      </c>
      <c r="AZ28" s="424"/>
      <c r="BA28" s="102" t="str">
        <f t="shared" si="3"/>
        <v/>
      </c>
      <c r="BB28" s="674"/>
      <c r="BC28" s="674"/>
      <c r="BD28" s="674"/>
      <c r="BE28" s="674"/>
      <c r="BF28" s="674"/>
      <c r="BG28" s="674"/>
      <c r="BH28" s="674"/>
      <c r="BI28" s="674"/>
      <c r="BJ28" s="674"/>
      <c r="BK28" s="675"/>
      <c r="BL28" s="96"/>
      <c r="BM28" s="103">
        <f t="shared" si="16"/>
        <v>0</v>
      </c>
      <c r="BN28" s="426"/>
      <c r="BO28" s="104" t="str">
        <f t="shared" si="4"/>
        <v/>
      </c>
      <c r="BP28" s="676"/>
      <c r="BQ28" s="676"/>
      <c r="BR28" s="676"/>
      <c r="BS28" s="676"/>
      <c r="BT28" s="676"/>
      <c r="BU28" s="676"/>
      <c r="BV28" s="676"/>
      <c r="BW28" s="676"/>
      <c r="BX28" s="676"/>
      <c r="BY28" s="677"/>
      <c r="BZ28" s="96"/>
      <c r="CA28" s="105">
        <f t="shared" si="17"/>
        <v>0</v>
      </c>
      <c r="CB28" s="429"/>
      <c r="CC28" s="106" t="str">
        <f t="shared" si="5"/>
        <v/>
      </c>
      <c r="CD28" s="666"/>
      <c r="CE28" s="666"/>
      <c r="CF28" s="666"/>
      <c r="CG28" s="666"/>
      <c r="CH28" s="666"/>
      <c r="CI28" s="666"/>
      <c r="CJ28" s="666"/>
      <c r="CK28" s="666"/>
      <c r="CL28" s="666"/>
      <c r="CM28" s="667"/>
      <c r="CN28" s="107"/>
      <c r="CO28" s="94">
        <f t="shared" si="18"/>
        <v>0</v>
      </c>
      <c r="CP28" s="120"/>
      <c r="CQ28" s="95" t="str">
        <f t="shared" si="6"/>
        <v/>
      </c>
      <c r="CR28" s="668"/>
      <c r="CS28" s="668"/>
      <c r="CT28" s="668"/>
      <c r="CU28" s="668"/>
      <c r="CV28" s="668"/>
      <c r="CW28" s="668"/>
      <c r="CX28" s="668"/>
      <c r="CY28" s="668"/>
      <c r="CZ28" s="668"/>
      <c r="DA28" s="669"/>
      <c r="DB28" s="96"/>
      <c r="DC28" s="97">
        <f t="shared" si="19"/>
        <v>0</v>
      </c>
      <c r="DD28" s="121"/>
      <c r="DE28" s="98" t="str">
        <f t="shared" si="7"/>
        <v/>
      </c>
      <c r="DF28" s="670"/>
      <c r="DG28" s="670"/>
      <c r="DH28" s="670"/>
      <c r="DI28" s="670"/>
      <c r="DJ28" s="670"/>
      <c r="DK28" s="670"/>
      <c r="DL28" s="670"/>
      <c r="DM28" s="670"/>
      <c r="DN28" s="670"/>
      <c r="DO28" s="671"/>
      <c r="DP28" s="96"/>
      <c r="DQ28" s="99">
        <f t="shared" si="20"/>
        <v>0</v>
      </c>
      <c r="DR28" s="122"/>
      <c r="DS28" s="100" t="str">
        <f t="shared" si="8"/>
        <v/>
      </c>
      <c r="DT28" s="672"/>
      <c r="DU28" s="672"/>
      <c r="DV28" s="672"/>
      <c r="DW28" s="672"/>
      <c r="DX28" s="672"/>
      <c r="DY28" s="672"/>
      <c r="DZ28" s="672"/>
      <c r="EA28" s="672"/>
      <c r="EB28" s="672"/>
      <c r="EC28" s="673"/>
      <c r="ED28" s="96"/>
      <c r="EE28" s="101">
        <f t="shared" si="21"/>
        <v>0</v>
      </c>
      <c r="EF28" s="424"/>
      <c r="EG28" s="102" t="str">
        <f t="shared" si="9"/>
        <v/>
      </c>
      <c r="EH28" s="674"/>
      <c r="EI28" s="674"/>
      <c r="EJ28" s="674"/>
      <c r="EK28" s="674"/>
      <c r="EL28" s="674"/>
      <c r="EM28" s="674"/>
      <c r="EN28" s="674"/>
      <c r="EO28" s="674"/>
      <c r="EP28" s="674"/>
      <c r="EQ28" s="675"/>
      <c r="ER28" s="96"/>
      <c r="ES28" s="103">
        <f t="shared" si="22"/>
        <v>0</v>
      </c>
      <c r="ET28" s="426"/>
      <c r="EU28" s="104" t="str">
        <f t="shared" si="10"/>
        <v/>
      </c>
      <c r="EV28" s="676"/>
      <c r="EW28" s="676"/>
      <c r="EX28" s="676"/>
      <c r="EY28" s="676"/>
      <c r="EZ28" s="676"/>
      <c r="FA28" s="676"/>
      <c r="FB28" s="676"/>
      <c r="FC28" s="676"/>
      <c r="FD28" s="676"/>
      <c r="FE28" s="677"/>
      <c r="FF28" s="96"/>
      <c r="FG28" s="105">
        <f t="shared" si="23"/>
        <v>0</v>
      </c>
      <c r="FH28" s="429"/>
      <c r="FI28" s="106" t="str">
        <f t="shared" si="11"/>
        <v/>
      </c>
      <c r="FJ28" s="666"/>
      <c r="FK28" s="666"/>
      <c r="FL28" s="666"/>
      <c r="FM28" s="666"/>
      <c r="FN28" s="666"/>
      <c r="FO28" s="666"/>
      <c r="FP28" s="666"/>
      <c r="FQ28" s="666"/>
      <c r="FR28" s="666"/>
      <c r="FS28" s="667"/>
      <c r="FT28" s="107"/>
    </row>
    <row r="29" spans="6:176" ht="20.100000000000001" customHeight="1" x14ac:dyDescent="0.25">
      <c r="F29" s="3">
        <v>20</v>
      </c>
      <c r="H29" s="16"/>
      <c r="I29" s="94">
        <f t="shared" si="12"/>
        <v>0</v>
      </c>
      <c r="J29" s="120"/>
      <c r="K29" s="95" t="str">
        <f t="shared" si="0"/>
        <v/>
      </c>
      <c r="L29" s="668"/>
      <c r="M29" s="668"/>
      <c r="N29" s="668"/>
      <c r="O29" s="668"/>
      <c r="P29" s="668"/>
      <c r="Q29" s="668"/>
      <c r="R29" s="668"/>
      <c r="S29" s="668"/>
      <c r="T29" s="668"/>
      <c r="U29" s="669"/>
      <c r="V29" s="96"/>
      <c r="W29" s="97">
        <f t="shared" si="13"/>
        <v>0</v>
      </c>
      <c r="X29" s="121"/>
      <c r="Y29" s="98" t="str">
        <f t="shared" si="1"/>
        <v/>
      </c>
      <c r="Z29" s="670"/>
      <c r="AA29" s="670"/>
      <c r="AB29" s="670"/>
      <c r="AC29" s="670"/>
      <c r="AD29" s="670"/>
      <c r="AE29" s="670"/>
      <c r="AF29" s="670"/>
      <c r="AG29" s="670"/>
      <c r="AH29" s="670"/>
      <c r="AI29" s="671"/>
      <c r="AJ29" s="96"/>
      <c r="AK29" s="99">
        <f t="shared" si="14"/>
        <v>0</v>
      </c>
      <c r="AL29" s="122"/>
      <c r="AM29" s="100" t="str">
        <f t="shared" si="2"/>
        <v/>
      </c>
      <c r="AN29" s="672"/>
      <c r="AO29" s="672"/>
      <c r="AP29" s="672"/>
      <c r="AQ29" s="672"/>
      <c r="AR29" s="672"/>
      <c r="AS29" s="672"/>
      <c r="AT29" s="672"/>
      <c r="AU29" s="672"/>
      <c r="AV29" s="672"/>
      <c r="AW29" s="673"/>
      <c r="AX29" s="96"/>
      <c r="AY29" s="101">
        <f t="shared" si="15"/>
        <v>0</v>
      </c>
      <c r="AZ29" s="424"/>
      <c r="BA29" s="102" t="str">
        <f t="shared" si="3"/>
        <v/>
      </c>
      <c r="BB29" s="674"/>
      <c r="BC29" s="674"/>
      <c r="BD29" s="674"/>
      <c r="BE29" s="674"/>
      <c r="BF29" s="674"/>
      <c r="BG29" s="674"/>
      <c r="BH29" s="674"/>
      <c r="BI29" s="674"/>
      <c r="BJ29" s="674"/>
      <c r="BK29" s="675"/>
      <c r="BL29" s="96"/>
      <c r="BM29" s="103">
        <f t="shared" si="16"/>
        <v>0</v>
      </c>
      <c r="BN29" s="426"/>
      <c r="BO29" s="104" t="str">
        <f t="shared" si="4"/>
        <v/>
      </c>
      <c r="BP29" s="676"/>
      <c r="BQ29" s="676"/>
      <c r="BR29" s="676"/>
      <c r="BS29" s="676"/>
      <c r="BT29" s="676"/>
      <c r="BU29" s="676"/>
      <c r="BV29" s="676"/>
      <c r="BW29" s="676"/>
      <c r="BX29" s="676"/>
      <c r="BY29" s="677"/>
      <c r="BZ29" s="96"/>
      <c r="CA29" s="105">
        <f t="shared" si="17"/>
        <v>0</v>
      </c>
      <c r="CB29" s="429"/>
      <c r="CC29" s="106" t="str">
        <f t="shared" si="5"/>
        <v/>
      </c>
      <c r="CD29" s="666"/>
      <c r="CE29" s="666"/>
      <c r="CF29" s="666"/>
      <c r="CG29" s="666"/>
      <c r="CH29" s="666"/>
      <c r="CI29" s="666"/>
      <c r="CJ29" s="666"/>
      <c r="CK29" s="666"/>
      <c r="CL29" s="666"/>
      <c r="CM29" s="667"/>
      <c r="CN29" s="107"/>
      <c r="CO29" s="94">
        <f t="shared" si="18"/>
        <v>0</v>
      </c>
      <c r="CP29" s="120"/>
      <c r="CQ29" s="95" t="str">
        <f t="shared" si="6"/>
        <v/>
      </c>
      <c r="CR29" s="668"/>
      <c r="CS29" s="668"/>
      <c r="CT29" s="668"/>
      <c r="CU29" s="668"/>
      <c r="CV29" s="668"/>
      <c r="CW29" s="668"/>
      <c r="CX29" s="668"/>
      <c r="CY29" s="668"/>
      <c r="CZ29" s="668"/>
      <c r="DA29" s="669"/>
      <c r="DB29" s="96"/>
      <c r="DC29" s="97">
        <f t="shared" si="19"/>
        <v>0</v>
      </c>
      <c r="DD29" s="121"/>
      <c r="DE29" s="98" t="str">
        <f t="shared" si="7"/>
        <v/>
      </c>
      <c r="DF29" s="670"/>
      <c r="DG29" s="670"/>
      <c r="DH29" s="670"/>
      <c r="DI29" s="670"/>
      <c r="DJ29" s="670"/>
      <c r="DK29" s="670"/>
      <c r="DL29" s="670"/>
      <c r="DM29" s="670"/>
      <c r="DN29" s="670"/>
      <c r="DO29" s="671"/>
      <c r="DP29" s="96"/>
      <c r="DQ29" s="99">
        <f t="shared" si="20"/>
        <v>0</v>
      </c>
      <c r="DR29" s="122"/>
      <c r="DS29" s="100" t="str">
        <f t="shared" si="8"/>
        <v/>
      </c>
      <c r="DT29" s="672"/>
      <c r="DU29" s="672"/>
      <c r="DV29" s="672"/>
      <c r="DW29" s="672"/>
      <c r="DX29" s="672"/>
      <c r="DY29" s="672"/>
      <c r="DZ29" s="672"/>
      <c r="EA29" s="672"/>
      <c r="EB29" s="672"/>
      <c r="EC29" s="673"/>
      <c r="ED29" s="96"/>
      <c r="EE29" s="101">
        <f t="shared" si="21"/>
        <v>0</v>
      </c>
      <c r="EF29" s="424"/>
      <c r="EG29" s="102" t="str">
        <f t="shared" si="9"/>
        <v/>
      </c>
      <c r="EH29" s="674"/>
      <c r="EI29" s="674"/>
      <c r="EJ29" s="674"/>
      <c r="EK29" s="674"/>
      <c r="EL29" s="674"/>
      <c r="EM29" s="674"/>
      <c r="EN29" s="674"/>
      <c r="EO29" s="674"/>
      <c r="EP29" s="674"/>
      <c r="EQ29" s="675"/>
      <c r="ER29" s="96"/>
      <c r="ES29" s="103">
        <f t="shared" si="22"/>
        <v>0</v>
      </c>
      <c r="ET29" s="426"/>
      <c r="EU29" s="104" t="str">
        <f t="shared" si="10"/>
        <v/>
      </c>
      <c r="EV29" s="676"/>
      <c r="EW29" s="676"/>
      <c r="EX29" s="676"/>
      <c r="EY29" s="676"/>
      <c r="EZ29" s="676"/>
      <c r="FA29" s="676"/>
      <c r="FB29" s="676"/>
      <c r="FC29" s="676"/>
      <c r="FD29" s="676"/>
      <c r="FE29" s="677"/>
      <c r="FF29" s="96"/>
      <c r="FG29" s="105">
        <f t="shared" si="23"/>
        <v>0</v>
      </c>
      <c r="FH29" s="429"/>
      <c r="FI29" s="106" t="str">
        <f t="shared" si="11"/>
        <v/>
      </c>
      <c r="FJ29" s="666"/>
      <c r="FK29" s="666"/>
      <c r="FL29" s="666"/>
      <c r="FM29" s="666"/>
      <c r="FN29" s="666"/>
      <c r="FO29" s="666"/>
      <c r="FP29" s="666"/>
      <c r="FQ29" s="666"/>
      <c r="FR29" s="666"/>
      <c r="FS29" s="667"/>
      <c r="FT29" s="107"/>
    </row>
    <row r="30" spans="6:176" ht="20.100000000000001" customHeight="1" x14ac:dyDescent="0.25">
      <c r="F30" s="3">
        <v>21</v>
      </c>
      <c r="H30" s="16"/>
      <c r="I30" s="94">
        <f t="shared" si="12"/>
        <v>0</v>
      </c>
      <c r="J30" s="120"/>
      <c r="K30" s="95" t="str">
        <f t="shared" si="0"/>
        <v/>
      </c>
      <c r="L30" s="668"/>
      <c r="M30" s="668"/>
      <c r="N30" s="668"/>
      <c r="O30" s="668"/>
      <c r="P30" s="668"/>
      <c r="Q30" s="668"/>
      <c r="R30" s="668"/>
      <c r="S30" s="668"/>
      <c r="T30" s="668"/>
      <c r="U30" s="669"/>
      <c r="V30" s="96"/>
      <c r="W30" s="97">
        <f t="shared" si="13"/>
        <v>0</v>
      </c>
      <c r="X30" s="121"/>
      <c r="Y30" s="98" t="str">
        <f t="shared" si="1"/>
        <v/>
      </c>
      <c r="Z30" s="670"/>
      <c r="AA30" s="670"/>
      <c r="AB30" s="670"/>
      <c r="AC30" s="670"/>
      <c r="AD30" s="670"/>
      <c r="AE30" s="670"/>
      <c r="AF30" s="670"/>
      <c r="AG30" s="670"/>
      <c r="AH30" s="670"/>
      <c r="AI30" s="671"/>
      <c r="AJ30" s="96"/>
      <c r="AK30" s="99">
        <f t="shared" si="14"/>
        <v>0</v>
      </c>
      <c r="AL30" s="122"/>
      <c r="AM30" s="100" t="str">
        <f t="shared" si="2"/>
        <v/>
      </c>
      <c r="AN30" s="672"/>
      <c r="AO30" s="672"/>
      <c r="AP30" s="672"/>
      <c r="AQ30" s="672"/>
      <c r="AR30" s="672"/>
      <c r="AS30" s="672"/>
      <c r="AT30" s="672"/>
      <c r="AU30" s="672"/>
      <c r="AV30" s="672"/>
      <c r="AW30" s="673"/>
      <c r="AX30" s="96"/>
      <c r="AY30" s="101">
        <f t="shared" si="15"/>
        <v>0</v>
      </c>
      <c r="AZ30" s="424"/>
      <c r="BA30" s="102" t="str">
        <f t="shared" si="3"/>
        <v/>
      </c>
      <c r="BB30" s="674"/>
      <c r="BC30" s="674"/>
      <c r="BD30" s="674"/>
      <c r="BE30" s="674"/>
      <c r="BF30" s="674"/>
      <c r="BG30" s="674"/>
      <c r="BH30" s="674"/>
      <c r="BI30" s="674"/>
      <c r="BJ30" s="674"/>
      <c r="BK30" s="675"/>
      <c r="BL30" s="96"/>
      <c r="BM30" s="103">
        <f t="shared" si="16"/>
        <v>0</v>
      </c>
      <c r="BN30" s="426"/>
      <c r="BO30" s="104" t="str">
        <f t="shared" si="4"/>
        <v/>
      </c>
      <c r="BP30" s="676"/>
      <c r="BQ30" s="676"/>
      <c r="BR30" s="676"/>
      <c r="BS30" s="676"/>
      <c r="BT30" s="676"/>
      <c r="BU30" s="676"/>
      <c r="BV30" s="676"/>
      <c r="BW30" s="676"/>
      <c r="BX30" s="676"/>
      <c r="BY30" s="677"/>
      <c r="BZ30" s="96"/>
      <c r="CA30" s="105">
        <f t="shared" si="17"/>
        <v>0</v>
      </c>
      <c r="CB30" s="429"/>
      <c r="CC30" s="106" t="str">
        <f t="shared" si="5"/>
        <v/>
      </c>
      <c r="CD30" s="666"/>
      <c r="CE30" s="666"/>
      <c r="CF30" s="666"/>
      <c r="CG30" s="666"/>
      <c r="CH30" s="666"/>
      <c r="CI30" s="666"/>
      <c r="CJ30" s="666"/>
      <c r="CK30" s="666"/>
      <c r="CL30" s="666"/>
      <c r="CM30" s="667"/>
      <c r="CN30" s="107"/>
      <c r="CO30" s="94">
        <f t="shared" si="18"/>
        <v>0</v>
      </c>
      <c r="CP30" s="120"/>
      <c r="CQ30" s="95" t="str">
        <f t="shared" si="6"/>
        <v/>
      </c>
      <c r="CR30" s="668"/>
      <c r="CS30" s="668"/>
      <c r="CT30" s="668"/>
      <c r="CU30" s="668"/>
      <c r="CV30" s="668"/>
      <c r="CW30" s="668"/>
      <c r="CX30" s="668"/>
      <c r="CY30" s="668"/>
      <c r="CZ30" s="668"/>
      <c r="DA30" s="669"/>
      <c r="DB30" s="96"/>
      <c r="DC30" s="97">
        <f t="shared" si="19"/>
        <v>0</v>
      </c>
      <c r="DD30" s="121"/>
      <c r="DE30" s="98" t="str">
        <f t="shared" si="7"/>
        <v/>
      </c>
      <c r="DF30" s="670"/>
      <c r="DG30" s="670"/>
      <c r="DH30" s="670"/>
      <c r="DI30" s="670"/>
      <c r="DJ30" s="670"/>
      <c r="DK30" s="670"/>
      <c r="DL30" s="670"/>
      <c r="DM30" s="670"/>
      <c r="DN30" s="670"/>
      <c r="DO30" s="671"/>
      <c r="DP30" s="96"/>
      <c r="DQ30" s="99">
        <f t="shared" si="20"/>
        <v>0</v>
      </c>
      <c r="DR30" s="122"/>
      <c r="DS30" s="100" t="str">
        <f t="shared" si="8"/>
        <v/>
      </c>
      <c r="DT30" s="672"/>
      <c r="DU30" s="672"/>
      <c r="DV30" s="672"/>
      <c r="DW30" s="672"/>
      <c r="DX30" s="672"/>
      <c r="DY30" s="672"/>
      <c r="DZ30" s="672"/>
      <c r="EA30" s="672"/>
      <c r="EB30" s="672"/>
      <c r="EC30" s="673"/>
      <c r="ED30" s="96"/>
      <c r="EE30" s="101">
        <f t="shared" si="21"/>
        <v>0</v>
      </c>
      <c r="EF30" s="424"/>
      <c r="EG30" s="102" t="str">
        <f t="shared" si="9"/>
        <v/>
      </c>
      <c r="EH30" s="674"/>
      <c r="EI30" s="674"/>
      <c r="EJ30" s="674"/>
      <c r="EK30" s="674"/>
      <c r="EL30" s="674"/>
      <c r="EM30" s="674"/>
      <c r="EN30" s="674"/>
      <c r="EO30" s="674"/>
      <c r="EP30" s="674"/>
      <c r="EQ30" s="675"/>
      <c r="ER30" s="96"/>
      <c r="ES30" s="103">
        <f t="shared" si="22"/>
        <v>0</v>
      </c>
      <c r="ET30" s="426"/>
      <c r="EU30" s="104" t="str">
        <f t="shared" si="10"/>
        <v/>
      </c>
      <c r="EV30" s="676"/>
      <c r="EW30" s="676"/>
      <c r="EX30" s="676"/>
      <c r="EY30" s="676"/>
      <c r="EZ30" s="676"/>
      <c r="FA30" s="676"/>
      <c r="FB30" s="676"/>
      <c r="FC30" s="676"/>
      <c r="FD30" s="676"/>
      <c r="FE30" s="677"/>
      <c r="FF30" s="96"/>
      <c r="FG30" s="105">
        <f t="shared" si="23"/>
        <v>0</v>
      </c>
      <c r="FH30" s="429"/>
      <c r="FI30" s="106" t="str">
        <f t="shared" si="11"/>
        <v/>
      </c>
      <c r="FJ30" s="666"/>
      <c r="FK30" s="666"/>
      <c r="FL30" s="666"/>
      <c r="FM30" s="666"/>
      <c r="FN30" s="666"/>
      <c r="FO30" s="666"/>
      <c r="FP30" s="666"/>
      <c r="FQ30" s="666"/>
      <c r="FR30" s="666"/>
      <c r="FS30" s="667"/>
      <c r="FT30" s="107"/>
    </row>
    <row r="31" spans="6:176" ht="20.100000000000001" customHeight="1" x14ac:dyDescent="0.25">
      <c r="F31" s="3">
        <v>22</v>
      </c>
      <c r="H31" s="16"/>
      <c r="I31" s="94">
        <f t="shared" si="12"/>
        <v>0</v>
      </c>
      <c r="J31" s="120"/>
      <c r="K31" s="95" t="str">
        <f t="shared" si="0"/>
        <v/>
      </c>
      <c r="L31" s="668"/>
      <c r="M31" s="668"/>
      <c r="N31" s="668"/>
      <c r="O31" s="668"/>
      <c r="P31" s="668"/>
      <c r="Q31" s="668"/>
      <c r="R31" s="668"/>
      <c r="S31" s="668"/>
      <c r="T31" s="668"/>
      <c r="U31" s="669"/>
      <c r="V31" s="96"/>
      <c r="W31" s="97">
        <f t="shared" si="13"/>
        <v>0</v>
      </c>
      <c r="X31" s="121"/>
      <c r="Y31" s="98" t="str">
        <f t="shared" si="1"/>
        <v/>
      </c>
      <c r="Z31" s="670"/>
      <c r="AA31" s="670"/>
      <c r="AB31" s="670"/>
      <c r="AC31" s="670"/>
      <c r="AD31" s="670"/>
      <c r="AE31" s="670"/>
      <c r="AF31" s="670"/>
      <c r="AG31" s="670"/>
      <c r="AH31" s="670"/>
      <c r="AI31" s="671"/>
      <c r="AJ31" s="96"/>
      <c r="AK31" s="99">
        <f t="shared" si="14"/>
        <v>0</v>
      </c>
      <c r="AL31" s="122"/>
      <c r="AM31" s="100" t="str">
        <f t="shared" si="2"/>
        <v/>
      </c>
      <c r="AN31" s="672"/>
      <c r="AO31" s="672"/>
      <c r="AP31" s="672"/>
      <c r="AQ31" s="672"/>
      <c r="AR31" s="672"/>
      <c r="AS31" s="672"/>
      <c r="AT31" s="672"/>
      <c r="AU31" s="672"/>
      <c r="AV31" s="672"/>
      <c r="AW31" s="673"/>
      <c r="AX31" s="96"/>
      <c r="AY31" s="101">
        <f t="shared" si="15"/>
        <v>0</v>
      </c>
      <c r="AZ31" s="424"/>
      <c r="BA31" s="102" t="str">
        <f t="shared" si="3"/>
        <v/>
      </c>
      <c r="BB31" s="674"/>
      <c r="BC31" s="674"/>
      <c r="BD31" s="674"/>
      <c r="BE31" s="674"/>
      <c r="BF31" s="674"/>
      <c r="BG31" s="674"/>
      <c r="BH31" s="674"/>
      <c r="BI31" s="674"/>
      <c r="BJ31" s="674"/>
      <c r="BK31" s="675"/>
      <c r="BL31" s="96"/>
      <c r="BM31" s="103">
        <f t="shared" si="16"/>
        <v>0</v>
      </c>
      <c r="BN31" s="426"/>
      <c r="BO31" s="104" t="str">
        <f t="shared" si="4"/>
        <v/>
      </c>
      <c r="BP31" s="676"/>
      <c r="BQ31" s="676"/>
      <c r="BR31" s="676"/>
      <c r="BS31" s="676"/>
      <c r="BT31" s="676"/>
      <c r="BU31" s="676"/>
      <c r="BV31" s="676"/>
      <c r="BW31" s="676"/>
      <c r="BX31" s="676"/>
      <c r="BY31" s="677"/>
      <c r="BZ31" s="96"/>
      <c r="CA31" s="105">
        <f t="shared" si="17"/>
        <v>0</v>
      </c>
      <c r="CB31" s="429"/>
      <c r="CC31" s="106" t="str">
        <f t="shared" si="5"/>
        <v/>
      </c>
      <c r="CD31" s="666"/>
      <c r="CE31" s="666"/>
      <c r="CF31" s="666"/>
      <c r="CG31" s="666"/>
      <c r="CH31" s="666"/>
      <c r="CI31" s="666"/>
      <c r="CJ31" s="666"/>
      <c r="CK31" s="666"/>
      <c r="CL31" s="666"/>
      <c r="CM31" s="667"/>
      <c r="CN31" s="107"/>
      <c r="CO31" s="94">
        <f t="shared" si="18"/>
        <v>0</v>
      </c>
      <c r="CP31" s="120"/>
      <c r="CQ31" s="95" t="str">
        <f t="shared" si="6"/>
        <v/>
      </c>
      <c r="CR31" s="668"/>
      <c r="CS31" s="668"/>
      <c r="CT31" s="668"/>
      <c r="CU31" s="668"/>
      <c r="CV31" s="668"/>
      <c r="CW31" s="668"/>
      <c r="CX31" s="668"/>
      <c r="CY31" s="668"/>
      <c r="CZ31" s="668"/>
      <c r="DA31" s="669"/>
      <c r="DB31" s="96"/>
      <c r="DC31" s="97">
        <f t="shared" si="19"/>
        <v>0</v>
      </c>
      <c r="DD31" s="121"/>
      <c r="DE31" s="98" t="str">
        <f t="shared" si="7"/>
        <v/>
      </c>
      <c r="DF31" s="670"/>
      <c r="DG31" s="670"/>
      <c r="DH31" s="670"/>
      <c r="DI31" s="670"/>
      <c r="DJ31" s="670"/>
      <c r="DK31" s="670"/>
      <c r="DL31" s="670"/>
      <c r="DM31" s="670"/>
      <c r="DN31" s="670"/>
      <c r="DO31" s="671"/>
      <c r="DP31" s="96"/>
      <c r="DQ31" s="99">
        <f t="shared" si="20"/>
        <v>0</v>
      </c>
      <c r="DR31" s="122"/>
      <c r="DS31" s="100" t="str">
        <f t="shared" si="8"/>
        <v/>
      </c>
      <c r="DT31" s="672"/>
      <c r="DU31" s="672"/>
      <c r="DV31" s="672"/>
      <c r="DW31" s="672"/>
      <c r="DX31" s="672"/>
      <c r="DY31" s="672"/>
      <c r="DZ31" s="672"/>
      <c r="EA31" s="672"/>
      <c r="EB31" s="672"/>
      <c r="EC31" s="673"/>
      <c r="ED31" s="96"/>
      <c r="EE31" s="101">
        <f t="shared" si="21"/>
        <v>0</v>
      </c>
      <c r="EF31" s="424"/>
      <c r="EG31" s="102" t="str">
        <f t="shared" si="9"/>
        <v/>
      </c>
      <c r="EH31" s="674"/>
      <c r="EI31" s="674"/>
      <c r="EJ31" s="674"/>
      <c r="EK31" s="674"/>
      <c r="EL31" s="674"/>
      <c r="EM31" s="674"/>
      <c r="EN31" s="674"/>
      <c r="EO31" s="674"/>
      <c r="EP31" s="674"/>
      <c r="EQ31" s="675"/>
      <c r="ER31" s="96"/>
      <c r="ES31" s="103">
        <f t="shared" si="22"/>
        <v>0</v>
      </c>
      <c r="ET31" s="426"/>
      <c r="EU31" s="104" t="str">
        <f t="shared" si="10"/>
        <v/>
      </c>
      <c r="EV31" s="676"/>
      <c r="EW31" s="676"/>
      <c r="EX31" s="676"/>
      <c r="EY31" s="676"/>
      <c r="EZ31" s="676"/>
      <c r="FA31" s="676"/>
      <c r="FB31" s="676"/>
      <c r="FC31" s="676"/>
      <c r="FD31" s="676"/>
      <c r="FE31" s="677"/>
      <c r="FF31" s="96"/>
      <c r="FG31" s="105">
        <f t="shared" si="23"/>
        <v>0</v>
      </c>
      <c r="FH31" s="429"/>
      <c r="FI31" s="106" t="str">
        <f t="shared" si="11"/>
        <v/>
      </c>
      <c r="FJ31" s="666"/>
      <c r="FK31" s="666"/>
      <c r="FL31" s="666"/>
      <c r="FM31" s="666"/>
      <c r="FN31" s="666"/>
      <c r="FO31" s="666"/>
      <c r="FP31" s="666"/>
      <c r="FQ31" s="666"/>
      <c r="FR31" s="666"/>
      <c r="FS31" s="667"/>
      <c r="FT31" s="107"/>
    </row>
    <row r="32" spans="6:176" ht="20.100000000000001" customHeight="1" x14ac:dyDescent="0.25">
      <c r="F32" s="3">
        <v>23</v>
      </c>
      <c r="H32" s="16"/>
      <c r="I32" s="94">
        <f t="shared" si="12"/>
        <v>0</v>
      </c>
      <c r="J32" s="120"/>
      <c r="K32" s="95" t="str">
        <f t="shared" si="0"/>
        <v/>
      </c>
      <c r="L32" s="668"/>
      <c r="M32" s="668"/>
      <c r="N32" s="668"/>
      <c r="O32" s="668"/>
      <c r="P32" s="668"/>
      <c r="Q32" s="668"/>
      <c r="R32" s="668"/>
      <c r="S32" s="668"/>
      <c r="T32" s="668"/>
      <c r="U32" s="669"/>
      <c r="V32" s="96"/>
      <c r="W32" s="97">
        <f t="shared" si="13"/>
        <v>0</v>
      </c>
      <c r="X32" s="121"/>
      <c r="Y32" s="98" t="str">
        <f t="shared" si="1"/>
        <v/>
      </c>
      <c r="Z32" s="670"/>
      <c r="AA32" s="670"/>
      <c r="AB32" s="670"/>
      <c r="AC32" s="670"/>
      <c r="AD32" s="670"/>
      <c r="AE32" s="670"/>
      <c r="AF32" s="670"/>
      <c r="AG32" s="670"/>
      <c r="AH32" s="670"/>
      <c r="AI32" s="671"/>
      <c r="AJ32" s="96"/>
      <c r="AK32" s="99">
        <f t="shared" si="14"/>
        <v>0</v>
      </c>
      <c r="AL32" s="122"/>
      <c r="AM32" s="100" t="str">
        <f t="shared" si="2"/>
        <v/>
      </c>
      <c r="AN32" s="672"/>
      <c r="AO32" s="672"/>
      <c r="AP32" s="672"/>
      <c r="AQ32" s="672"/>
      <c r="AR32" s="672"/>
      <c r="AS32" s="672"/>
      <c r="AT32" s="672"/>
      <c r="AU32" s="672"/>
      <c r="AV32" s="672"/>
      <c r="AW32" s="673"/>
      <c r="AX32" s="96"/>
      <c r="AY32" s="101">
        <f t="shared" si="15"/>
        <v>0</v>
      </c>
      <c r="AZ32" s="424"/>
      <c r="BA32" s="102" t="str">
        <f t="shared" si="3"/>
        <v/>
      </c>
      <c r="BB32" s="674"/>
      <c r="BC32" s="674"/>
      <c r="BD32" s="674"/>
      <c r="BE32" s="674"/>
      <c r="BF32" s="674"/>
      <c r="BG32" s="674"/>
      <c r="BH32" s="674"/>
      <c r="BI32" s="674"/>
      <c r="BJ32" s="674"/>
      <c r="BK32" s="675"/>
      <c r="BL32" s="96"/>
      <c r="BM32" s="103">
        <f t="shared" si="16"/>
        <v>0</v>
      </c>
      <c r="BN32" s="426"/>
      <c r="BO32" s="104" t="str">
        <f t="shared" si="4"/>
        <v/>
      </c>
      <c r="BP32" s="676"/>
      <c r="BQ32" s="676"/>
      <c r="BR32" s="676"/>
      <c r="BS32" s="676"/>
      <c r="BT32" s="676"/>
      <c r="BU32" s="676"/>
      <c r="BV32" s="676"/>
      <c r="BW32" s="676"/>
      <c r="BX32" s="676"/>
      <c r="BY32" s="677"/>
      <c r="BZ32" s="96"/>
      <c r="CA32" s="105">
        <f t="shared" si="17"/>
        <v>0</v>
      </c>
      <c r="CB32" s="429"/>
      <c r="CC32" s="106" t="str">
        <f t="shared" si="5"/>
        <v/>
      </c>
      <c r="CD32" s="666"/>
      <c r="CE32" s="666"/>
      <c r="CF32" s="666"/>
      <c r="CG32" s="666"/>
      <c r="CH32" s="666"/>
      <c r="CI32" s="666"/>
      <c r="CJ32" s="666"/>
      <c r="CK32" s="666"/>
      <c r="CL32" s="666"/>
      <c r="CM32" s="667"/>
      <c r="CN32" s="107"/>
      <c r="CO32" s="94">
        <f t="shared" si="18"/>
        <v>0</v>
      </c>
      <c r="CP32" s="120"/>
      <c r="CQ32" s="95" t="str">
        <f t="shared" si="6"/>
        <v/>
      </c>
      <c r="CR32" s="668"/>
      <c r="CS32" s="668"/>
      <c r="CT32" s="668"/>
      <c r="CU32" s="668"/>
      <c r="CV32" s="668"/>
      <c r="CW32" s="668"/>
      <c r="CX32" s="668"/>
      <c r="CY32" s="668"/>
      <c r="CZ32" s="668"/>
      <c r="DA32" s="669"/>
      <c r="DB32" s="96"/>
      <c r="DC32" s="97">
        <f t="shared" si="19"/>
        <v>0</v>
      </c>
      <c r="DD32" s="121"/>
      <c r="DE32" s="98" t="str">
        <f t="shared" si="7"/>
        <v/>
      </c>
      <c r="DF32" s="670"/>
      <c r="DG32" s="670"/>
      <c r="DH32" s="670"/>
      <c r="DI32" s="670"/>
      <c r="DJ32" s="670"/>
      <c r="DK32" s="670"/>
      <c r="DL32" s="670"/>
      <c r="DM32" s="670"/>
      <c r="DN32" s="670"/>
      <c r="DO32" s="671"/>
      <c r="DP32" s="96"/>
      <c r="DQ32" s="99">
        <f t="shared" si="20"/>
        <v>0</v>
      </c>
      <c r="DR32" s="122"/>
      <c r="DS32" s="100" t="str">
        <f t="shared" si="8"/>
        <v/>
      </c>
      <c r="DT32" s="672"/>
      <c r="DU32" s="672"/>
      <c r="DV32" s="672"/>
      <c r="DW32" s="672"/>
      <c r="DX32" s="672"/>
      <c r="DY32" s="672"/>
      <c r="DZ32" s="672"/>
      <c r="EA32" s="672"/>
      <c r="EB32" s="672"/>
      <c r="EC32" s="673"/>
      <c r="ED32" s="96"/>
      <c r="EE32" s="101">
        <f t="shared" si="21"/>
        <v>0</v>
      </c>
      <c r="EF32" s="424"/>
      <c r="EG32" s="102" t="str">
        <f t="shared" si="9"/>
        <v/>
      </c>
      <c r="EH32" s="674"/>
      <c r="EI32" s="674"/>
      <c r="EJ32" s="674"/>
      <c r="EK32" s="674"/>
      <c r="EL32" s="674"/>
      <c r="EM32" s="674"/>
      <c r="EN32" s="674"/>
      <c r="EO32" s="674"/>
      <c r="EP32" s="674"/>
      <c r="EQ32" s="675"/>
      <c r="ER32" s="96"/>
      <c r="ES32" s="103">
        <f t="shared" si="22"/>
        <v>0</v>
      </c>
      <c r="ET32" s="426"/>
      <c r="EU32" s="104" t="str">
        <f t="shared" si="10"/>
        <v/>
      </c>
      <c r="EV32" s="676"/>
      <c r="EW32" s="676"/>
      <c r="EX32" s="676"/>
      <c r="EY32" s="676"/>
      <c r="EZ32" s="676"/>
      <c r="FA32" s="676"/>
      <c r="FB32" s="676"/>
      <c r="FC32" s="676"/>
      <c r="FD32" s="676"/>
      <c r="FE32" s="677"/>
      <c r="FF32" s="96"/>
      <c r="FG32" s="105">
        <f t="shared" si="23"/>
        <v>0</v>
      </c>
      <c r="FH32" s="429"/>
      <c r="FI32" s="106" t="str">
        <f t="shared" si="11"/>
        <v/>
      </c>
      <c r="FJ32" s="666"/>
      <c r="FK32" s="666"/>
      <c r="FL32" s="666"/>
      <c r="FM32" s="666"/>
      <c r="FN32" s="666"/>
      <c r="FO32" s="666"/>
      <c r="FP32" s="666"/>
      <c r="FQ32" s="666"/>
      <c r="FR32" s="666"/>
      <c r="FS32" s="667"/>
      <c r="FT32" s="107"/>
    </row>
    <row r="33" spans="6:176" ht="20.100000000000001" customHeight="1" x14ac:dyDescent="0.25">
      <c r="F33" s="3">
        <v>24</v>
      </c>
      <c r="H33" s="16"/>
      <c r="I33" s="94">
        <f t="shared" si="12"/>
        <v>0</v>
      </c>
      <c r="J33" s="120"/>
      <c r="K33" s="95" t="str">
        <f t="shared" si="0"/>
        <v/>
      </c>
      <c r="L33" s="668"/>
      <c r="M33" s="668"/>
      <c r="N33" s="668"/>
      <c r="O33" s="668"/>
      <c r="P33" s="668"/>
      <c r="Q33" s="668"/>
      <c r="R33" s="668"/>
      <c r="S33" s="668"/>
      <c r="T33" s="668"/>
      <c r="U33" s="669"/>
      <c r="V33" s="96"/>
      <c r="W33" s="97">
        <f t="shared" si="13"/>
        <v>0</v>
      </c>
      <c r="X33" s="121"/>
      <c r="Y33" s="98" t="str">
        <f t="shared" si="1"/>
        <v/>
      </c>
      <c r="Z33" s="670"/>
      <c r="AA33" s="670"/>
      <c r="AB33" s="670"/>
      <c r="AC33" s="670"/>
      <c r="AD33" s="670"/>
      <c r="AE33" s="670"/>
      <c r="AF33" s="670"/>
      <c r="AG33" s="670"/>
      <c r="AH33" s="670"/>
      <c r="AI33" s="671"/>
      <c r="AJ33" s="96"/>
      <c r="AK33" s="99">
        <f t="shared" si="14"/>
        <v>0</v>
      </c>
      <c r="AL33" s="122"/>
      <c r="AM33" s="100" t="str">
        <f t="shared" si="2"/>
        <v/>
      </c>
      <c r="AN33" s="672"/>
      <c r="AO33" s="672"/>
      <c r="AP33" s="672"/>
      <c r="AQ33" s="672"/>
      <c r="AR33" s="672"/>
      <c r="AS33" s="672"/>
      <c r="AT33" s="672"/>
      <c r="AU33" s="672"/>
      <c r="AV33" s="672"/>
      <c r="AW33" s="673"/>
      <c r="AX33" s="96"/>
      <c r="AY33" s="101">
        <f t="shared" si="15"/>
        <v>0</v>
      </c>
      <c r="AZ33" s="424"/>
      <c r="BA33" s="102" t="str">
        <f t="shared" si="3"/>
        <v/>
      </c>
      <c r="BB33" s="674"/>
      <c r="BC33" s="674"/>
      <c r="BD33" s="674"/>
      <c r="BE33" s="674"/>
      <c r="BF33" s="674"/>
      <c r="BG33" s="674"/>
      <c r="BH33" s="674"/>
      <c r="BI33" s="674"/>
      <c r="BJ33" s="674"/>
      <c r="BK33" s="675"/>
      <c r="BL33" s="96"/>
      <c r="BM33" s="103">
        <f t="shared" si="16"/>
        <v>0</v>
      </c>
      <c r="BN33" s="426"/>
      <c r="BO33" s="104" t="str">
        <f t="shared" si="4"/>
        <v/>
      </c>
      <c r="BP33" s="676"/>
      <c r="BQ33" s="676"/>
      <c r="BR33" s="676"/>
      <c r="BS33" s="676"/>
      <c r="BT33" s="676"/>
      <c r="BU33" s="676"/>
      <c r="BV33" s="676"/>
      <c r="BW33" s="676"/>
      <c r="BX33" s="676"/>
      <c r="BY33" s="677"/>
      <c r="BZ33" s="96"/>
      <c r="CA33" s="105">
        <f t="shared" si="17"/>
        <v>0</v>
      </c>
      <c r="CB33" s="429"/>
      <c r="CC33" s="106" t="str">
        <f t="shared" si="5"/>
        <v/>
      </c>
      <c r="CD33" s="666"/>
      <c r="CE33" s="666"/>
      <c r="CF33" s="666"/>
      <c r="CG33" s="666"/>
      <c r="CH33" s="666"/>
      <c r="CI33" s="666"/>
      <c r="CJ33" s="666"/>
      <c r="CK33" s="666"/>
      <c r="CL33" s="666"/>
      <c r="CM33" s="667"/>
      <c r="CN33" s="107"/>
      <c r="CO33" s="94">
        <f t="shared" si="18"/>
        <v>0</v>
      </c>
      <c r="CP33" s="120"/>
      <c r="CQ33" s="95" t="str">
        <f t="shared" si="6"/>
        <v/>
      </c>
      <c r="CR33" s="668"/>
      <c r="CS33" s="668"/>
      <c r="CT33" s="668"/>
      <c r="CU33" s="668"/>
      <c r="CV33" s="668"/>
      <c r="CW33" s="668"/>
      <c r="CX33" s="668"/>
      <c r="CY33" s="668"/>
      <c r="CZ33" s="668"/>
      <c r="DA33" s="669"/>
      <c r="DB33" s="96"/>
      <c r="DC33" s="97">
        <f t="shared" si="19"/>
        <v>0</v>
      </c>
      <c r="DD33" s="121"/>
      <c r="DE33" s="98" t="str">
        <f t="shared" si="7"/>
        <v/>
      </c>
      <c r="DF33" s="670"/>
      <c r="DG33" s="670"/>
      <c r="DH33" s="670"/>
      <c r="DI33" s="670"/>
      <c r="DJ33" s="670"/>
      <c r="DK33" s="670"/>
      <c r="DL33" s="670"/>
      <c r="DM33" s="670"/>
      <c r="DN33" s="670"/>
      <c r="DO33" s="671"/>
      <c r="DP33" s="96"/>
      <c r="DQ33" s="99">
        <f t="shared" si="20"/>
        <v>0</v>
      </c>
      <c r="DR33" s="122"/>
      <c r="DS33" s="100" t="str">
        <f t="shared" si="8"/>
        <v/>
      </c>
      <c r="DT33" s="672"/>
      <c r="DU33" s="672"/>
      <c r="DV33" s="672"/>
      <c r="DW33" s="672"/>
      <c r="DX33" s="672"/>
      <c r="DY33" s="672"/>
      <c r="DZ33" s="672"/>
      <c r="EA33" s="672"/>
      <c r="EB33" s="672"/>
      <c r="EC33" s="673"/>
      <c r="ED33" s="96"/>
      <c r="EE33" s="101">
        <f t="shared" si="21"/>
        <v>0</v>
      </c>
      <c r="EF33" s="424"/>
      <c r="EG33" s="102" t="str">
        <f t="shared" si="9"/>
        <v/>
      </c>
      <c r="EH33" s="674"/>
      <c r="EI33" s="674"/>
      <c r="EJ33" s="674"/>
      <c r="EK33" s="674"/>
      <c r="EL33" s="674"/>
      <c r="EM33" s="674"/>
      <c r="EN33" s="674"/>
      <c r="EO33" s="674"/>
      <c r="EP33" s="674"/>
      <c r="EQ33" s="675"/>
      <c r="ER33" s="96"/>
      <c r="ES33" s="103">
        <f t="shared" si="22"/>
        <v>0</v>
      </c>
      <c r="ET33" s="426"/>
      <c r="EU33" s="104" t="str">
        <f t="shared" si="10"/>
        <v/>
      </c>
      <c r="EV33" s="676"/>
      <c r="EW33" s="676"/>
      <c r="EX33" s="676"/>
      <c r="EY33" s="676"/>
      <c r="EZ33" s="676"/>
      <c r="FA33" s="676"/>
      <c r="FB33" s="676"/>
      <c r="FC33" s="676"/>
      <c r="FD33" s="676"/>
      <c r="FE33" s="677"/>
      <c r="FF33" s="96"/>
      <c r="FG33" s="105">
        <f t="shared" si="23"/>
        <v>0</v>
      </c>
      <c r="FH33" s="429"/>
      <c r="FI33" s="106" t="str">
        <f t="shared" si="11"/>
        <v/>
      </c>
      <c r="FJ33" s="666"/>
      <c r="FK33" s="666"/>
      <c r="FL33" s="666"/>
      <c r="FM33" s="666"/>
      <c r="FN33" s="666"/>
      <c r="FO33" s="666"/>
      <c r="FP33" s="666"/>
      <c r="FQ33" s="666"/>
      <c r="FR33" s="666"/>
      <c r="FS33" s="667"/>
      <c r="FT33" s="107"/>
    </row>
    <row r="34" spans="6:176" ht="20.100000000000001" customHeight="1" x14ac:dyDescent="0.25">
      <c r="F34" s="3">
        <v>25</v>
      </c>
      <c r="H34" s="16"/>
      <c r="I34" s="94">
        <f t="shared" si="12"/>
        <v>0</v>
      </c>
      <c r="J34" s="120"/>
      <c r="K34" s="95" t="str">
        <f t="shared" si="0"/>
        <v/>
      </c>
      <c r="L34" s="668"/>
      <c r="M34" s="668"/>
      <c r="N34" s="668"/>
      <c r="O34" s="668"/>
      <c r="P34" s="668"/>
      <c r="Q34" s="668"/>
      <c r="R34" s="668"/>
      <c r="S34" s="668"/>
      <c r="T34" s="668"/>
      <c r="U34" s="669"/>
      <c r="V34" s="96"/>
      <c r="W34" s="97">
        <f t="shared" si="13"/>
        <v>0</v>
      </c>
      <c r="X34" s="121"/>
      <c r="Y34" s="98" t="str">
        <f t="shared" si="1"/>
        <v/>
      </c>
      <c r="Z34" s="670"/>
      <c r="AA34" s="670"/>
      <c r="AB34" s="670"/>
      <c r="AC34" s="670"/>
      <c r="AD34" s="670"/>
      <c r="AE34" s="670"/>
      <c r="AF34" s="670"/>
      <c r="AG34" s="670"/>
      <c r="AH34" s="670"/>
      <c r="AI34" s="671"/>
      <c r="AJ34" s="96"/>
      <c r="AK34" s="99">
        <f t="shared" si="14"/>
        <v>0</v>
      </c>
      <c r="AL34" s="122"/>
      <c r="AM34" s="100" t="str">
        <f t="shared" si="2"/>
        <v/>
      </c>
      <c r="AN34" s="672"/>
      <c r="AO34" s="672"/>
      <c r="AP34" s="672"/>
      <c r="AQ34" s="672"/>
      <c r="AR34" s="672"/>
      <c r="AS34" s="672"/>
      <c r="AT34" s="672"/>
      <c r="AU34" s="672"/>
      <c r="AV34" s="672"/>
      <c r="AW34" s="673"/>
      <c r="AX34" s="96"/>
      <c r="AY34" s="101">
        <f t="shared" si="15"/>
        <v>0</v>
      </c>
      <c r="AZ34" s="424"/>
      <c r="BA34" s="102" t="str">
        <f t="shared" si="3"/>
        <v/>
      </c>
      <c r="BB34" s="674"/>
      <c r="BC34" s="674"/>
      <c r="BD34" s="674"/>
      <c r="BE34" s="674"/>
      <c r="BF34" s="674"/>
      <c r="BG34" s="674"/>
      <c r="BH34" s="674"/>
      <c r="BI34" s="674"/>
      <c r="BJ34" s="674"/>
      <c r="BK34" s="675"/>
      <c r="BL34" s="96"/>
      <c r="BM34" s="103">
        <f t="shared" si="16"/>
        <v>0</v>
      </c>
      <c r="BN34" s="426"/>
      <c r="BO34" s="104" t="str">
        <f t="shared" si="4"/>
        <v/>
      </c>
      <c r="BP34" s="676"/>
      <c r="BQ34" s="676"/>
      <c r="BR34" s="676"/>
      <c r="BS34" s="676"/>
      <c r="BT34" s="676"/>
      <c r="BU34" s="676"/>
      <c r="BV34" s="676"/>
      <c r="BW34" s="676"/>
      <c r="BX34" s="676"/>
      <c r="BY34" s="677"/>
      <c r="BZ34" s="96"/>
      <c r="CA34" s="105">
        <f t="shared" si="17"/>
        <v>0</v>
      </c>
      <c r="CB34" s="429"/>
      <c r="CC34" s="106" t="str">
        <f t="shared" si="5"/>
        <v/>
      </c>
      <c r="CD34" s="666"/>
      <c r="CE34" s="666"/>
      <c r="CF34" s="666"/>
      <c r="CG34" s="666"/>
      <c r="CH34" s="666"/>
      <c r="CI34" s="666"/>
      <c r="CJ34" s="666"/>
      <c r="CK34" s="666"/>
      <c r="CL34" s="666"/>
      <c r="CM34" s="667"/>
      <c r="CN34" s="107"/>
      <c r="CO34" s="94">
        <f t="shared" si="18"/>
        <v>0</v>
      </c>
      <c r="CP34" s="120"/>
      <c r="CQ34" s="95" t="str">
        <f t="shared" si="6"/>
        <v/>
      </c>
      <c r="CR34" s="668"/>
      <c r="CS34" s="668"/>
      <c r="CT34" s="668"/>
      <c r="CU34" s="668"/>
      <c r="CV34" s="668"/>
      <c r="CW34" s="668"/>
      <c r="CX34" s="668"/>
      <c r="CY34" s="668"/>
      <c r="CZ34" s="668"/>
      <c r="DA34" s="669"/>
      <c r="DB34" s="96"/>
      <c r="DC34" s="97">
        <f t="shared" si="19"/>
        <v>0</v>
      </c>
      <c r="DD34" s="121"/>
      <c r="DE34" s="98" t="str">
        <f t="shared" si="7"/>
        <v/>
      </c>
      <c r="DF34" s="670"/>
      <c r="DG34" s="670"/>
      <c r="DH34" s="670"/>
      <c r="DI34" s="670"/>
      <c r="DJ34" s="670"/>
      <c r="DK34" s="670"/>
      <c r="DL34" s="670"/>
      <c r="DM34" s="670"/>
      <c r="DN34" s="670"/>
      <c r="DO34" s="671"/>
      <c r="DP34" s="96"/>
      <c r="DQ34" s="99">
        <f t="shared" si="20"/>
        <v>0</v>
      </c>
      <c r="DR34" s="122"/>
      <c r="DS34" s="100" t="str">
        <f t="shared" si="8"/>
        <v/>
      </c>
      <c r="DT34" s="672"/>
      <c r="DU34" s="672"/>
      <c r="DV34" s="672"/>
      <c r="DW34" s="672"/>
      <c r="DX34" s="672"/>
      <c r="DY34" s="672"/>
      <c r="DZ34" s="672"/>
      <c r="EA34" s="672"/>
      <c r="EB34" s="672"/>
      <c r="EC34" s="673"/>
      <c r="ED34" s="96"/>
      <c r="EE34" s="101">
        <f t="shared" si="21"/>
        <v>0</v>
      </c>
      <c r="EF34" s="424"/>
      <c r="EG34" s="102" t="str">
        <f t="shared" si="9"/>
        <v/>
      </c>
      <c r="EH34" s="674"/>
      <c r="EI34" s="674"/>
      <c r="EJ34" s="674"/>
      <c r="EK34" s="674"/>
      <c r="EL34" s="674"/>
      <c r="EM34" s="674"/>
      <c r="EN34" s="674"/>
      <c r="EO34" s="674"/>
      <c r="EP34" s="674"/>
      <c r="EQ34" s="675"/>
      <c r="ER34" s="96"/>
      <c r="ES34" s="103">
        <f t="shared" si="22"/>
        <v>0</v>
      </c>
      <c r="ET34" s="426"/>
      <c r="EU34" s="104" t="str">
        <f t="shared" si="10"/>
        <v/>
      </c>
      <c r="EV34" s="676"/>
      <c r="EW34" s="676"/>
      <c r="EX34" s="676"/>
      <c r="EY34" s="676"/>
      <c r="EZ34" s="676"/>
      <c r="FA34" s="676"/>
      <c r="FB34" s="676"/>
      <c r="FC34" s="676"/>
      <c r="FD34" s="676"/>
      <c r="FE34" s="677"/>
      <c r="FF34" s="96"/>
      <c r="FG34" s="105">
        <f t="shared" si="23"/>
        <v>0</v>
      </c>
      <c r="FH34" s="429"/>
      <c r="FI34" s="106" t="str">
        <f t="shared" si="11"/>
        <v/>
      </c>
      <c r="FJ34" s="666"/>
      <c r="FK34" s="666"/>
      <c r="FL34" s="666"/>
      <c r="FM34" s="666"/>
      <c r="FN34" s="666"/>
      <c r="FO34" s="666"/>
      <c r="FP34" s="666"/>
      <c r="FQ34" s="666"/>
      <c r="FR34" s="666"/>
      <c r="FS34" s="667"/>
      <c r="FT34" s="107"/>
    </row>
    <row r="35" spans="6:176" ht="20.100000000000001" customHeight="1" x14ac:dyDescent="0.25">
      <c r="F35" s="3">
        <v>26</v>
      </c>
      <c r="H35" s="16"/>
      <c r="I35" s="94">
        <f t="shared" si="12"/>
        <v>0</v>
      </c>
      <c r="J35" s="120"/>
      <c r="K35" s="95" t="str">
        <f t="shared" si="0"/>
        <v/>
      </c>
      <c r="L35" s="668"/>
      <c r="M35" s="668"/>
      <c r="N35" s="668"/>
      <c r="O35" s="668"/>
      <c r="P35" s="668"/>
      <c r="Q35" s="668"/>
      <c r="R35" s="668"/>
      <c r="S35" s="668"/>
      <c r="T35" s="668"/>
      <c r="U35" s="669"/>
      <c r="V35" s="96"/>
      <c r="W35" s="97">
        <f t="shared" si="13"/>
        <v>0</v>
      </c>
      <c r="X35" s="121"/>
      <c r="Y35" s="98" t="str">
        <f t="shared" si="1"/>
        <v/>
      </c>
      <c r="Z35" s="670"/>
      <c r="AA35" s="670"/>
      <c r="AB35" s="670"/>
      <c r="AC35" s="670"/>
      <c r="AD35" s="670"/>
      <c r="AE35" s="670"/>
      <c r="AF35" s="670"/>
      <c r="AG35" s="670"/>
      <c r="AH35" s="670"/>
      <c r="AI35" s="671"/>
      <c r="AJ35" s="96"/>
      <c r="AK35" s="99">
        <f t="shared" si="14"/>
        <v>0</v>
      </c>
      <c r="AL35" s="122"/>
      <c r="AM35" s="100" t="str">
        <f t="shared" si="2"/>
        <v/>
      </c>
      <c r="AN35" s="672"/>
      <c r="AO35" s="672"/>
      <c r="AP35" s="672"/>
      <c r="AQ35" s="672"/>
      <c r="AR35" s="672"/>
      <c r="AS35" s="672"/>
      <c r="AT35" s="672"/>
      <c r="AU35" s="672"/>
      <c r="AV35" s="672"/>
      <c r="AW35" s="673"/>
      <c r="AX35" s="96"/>
      <c r="AY35" s="101">
        <f t="shared" si="15"/>
        <v>0</v>
      </c>
      <c r="AZ35" s="424"/>
      <c r="BA35" s="102" t="str">
        <f t="shared" si="3"/>
        <v/>
      </c>
      <c r="BB35" s="674"/>
      <c r="BC35" s="674"/>
      <c r="BD35" s="674"/>
      <c r="BE35" s="674"/>
      <c r="BF35" s="674"/>
      <c r="BG35" s="674"/>
      <c r="BH35" s="674"/>
      <c r="BI35" s="674"/>
      <c r="BJ35" s="674"/>
      <c r="BK35" s="675"/>
      <c r="BL35" s="96"/>
      <c r="BM35" s="103">
        <f t="shared" si="16"/>
        <v>0</v>
      </c>
      <c r="BN35" s="426"/>
      <c r="BO35" s="104" t="str">
        <f t="shared" si="4"/>
        <v/>
      </c>
      <c r="BP35" s="676"/>
      <c r="BQ35" s="676"/>
      <c r="BR35" s="676"/>
      <c r="BS35" s="676"/>
      <c r="BT35" s="676"/>
      <c r="BU35" s="676"/>
      <c r="BV35" s="676"/>
      <c r="BW35" s="676"/>
      <c r="BX35" s="676"/>
      <c r="BY35" s="677"/>
      <c r="BZ35" s="96"/>
      <c r="CA35" s="105">
        <f t="shared" si="17"/>
        <v>0</v>
      </c>
      <c r="CB35" s="429"/>
      <c r="CC35" s="106" t="str">
        <f t="shared" si="5"/>
        <v/>
      </c>
      <c r="CD35" s="666"/>
      <c r="CE35" s="666"/>
      <c r="CF35" s="666"/>
      <c r="CG35" s="666"/>
      <c r="CH35" s="666"/>
      <c r="CI35" s="666"/>
      <c r="CJ35" s="666"/>
      <c r="CK35" s="666"/>
      <c r="CL35" s="666"/>
      <c r="CM35" s="667"/>
      <c r="CN35" s="107"/>
      <c r="CO35" s="94">
        <f t="shared" si="18"/>
        <v>0</v>
      </c>
      <c r="CP35" s="120"/>
      <c r="CQ35" s="95" t="str">
        <f t="shared" si="6"/>
        <v/>
      </c>
      <c r="CR35" s="668"/>
      <c r="CS35" s="668"/>
      <c r="CT35" s="668"/>
      <c r="CU35" s="668"/>
      <c r="CV35" s="668"/>
      <c r="CW35" s="668"/>
      <c r="CX35" s="668"/>
      <c r="CY35" s="668"/>
      <c r="CZ35" s="668"/>
      <c r="DA35" s="669"/>
      <c r="DB35" s="96"/>
      <c r="DC35" s="97">
        <f t="shared" si="19"/>
        <v>0</v>
      </c>
      <c r="DD35" s="121"/>
      <c r="DE35" s="98" t="str">
        <f t="shared" si="7"/>
        <v/>
      </c>
      <c r="DF35" s="670"/>
      <c r="DG35" s="670"/>
      <c r="DH35" s="670"/>
      <c r="DI35" s="670"/>
      <c r="DJ35" s="670"/>
      <c r="DK35" s="670"/>
      <c r="DL35" s="670"/>
      <c r="DM35" s="670"/>
      <c r="DN35" s="670"/>
      <c r="DO35" s="671"/>
      <c r="DP35" s="96"/>
      <c r="DQ35" s="99">
        <f t="shared" si="20"/>
        <v>0</v>
      </c>
      <c r="DR35" s="122"/>
      <c r="DS35" s="100" t="str">
        <f t="shared" si="8"/>
        <v/>
      </c>
      <c r="DT35" s="672"/>
      <c r="DU35" s="672"/>
      <c r="DV35" s="672"/>
      <c r="DW35" s="672"/>
      <c r="DX35" s="672"/>
      <c r="DY35" s="672"/>
      <c r="DZ35" s="672"/>
      <c r="EA35" s="672"/>
      <c r="EB35" s="672"/>
      <c r="EC35" s="673"/>
      <c r="ED35" s="96"/>
      <c r="EE35" s="101">
        <f t="shared" si="21"/>
        <v>0</v>
      </c>
      <c r="EF35" s="424"/>
      <c r="EG35" s="102" t="str">
        <f t="shared" si="9"/>
        <v/>
      </c>
      <c r="EH35" s="674"/>
      <c r="EI35" s="674"/>
      <c r="EJ35" s="674"/>
      <c r="EK35" s="674"/>
      <c r="EL35" s="674"/>
      <c r="EM35" s="674"/>
      <c r="EN35" s="674"/>
      <c r="EO35" s="674"/>
      <c r="EP35" s="674"/>
      <c r="EQ35" s="675"/>
      <c r="ER35" s="96"/>
      <c r="ES35" s="103">
        <f t="shared" si="22"/>
        <v>0</v>
      </c>
      <c r="ET35" s="426"/>
      <c r="EU35" s="104" t="str">
        <f t="shared" si="10"/>
        <v/>
      </c>
      <c r="EV35" s="676"/>
      <c r="EW35" s="676"/>
      <c r="EX35" s="676"/>
      <c r="EY35" s="676"/>
      <c r="EZ35" s="676"/>
      <c r="FA35" s="676"/>
      <c r="FB35" s="676"/>
      <c r="FC35" s="676"/>
      <c r="FD35" s="676"/>
      <c r="FE35" s="677"/>
      <c r="FF35" s="96"/>
      <c r="FG35" s="105">
        <f t="shared" si="23"/>
        <v>0</v>
      </c>
      <c r="FH35" s="429"/>
      <c r="FI35" s="106" t="str">
        <f t="shared" si="11"/>
        <v/>
      </c>
      <c r="FJ35" s="666"/>
      <c r="FK35" s="666"/>
      <c r="FL35" s="666"/>
      <c r="FM35" s="666"/>
      <c r="FN35" s="666"/>
      <c r="FO35" s="666"/>
      <c r="FP35" s="666"/>
      <c r="FQ35" s="666"/>
      <c r="FR35" s="666"/>
      <c r="FS35" s="667"/>
      <c r="FT35" s="107"/>
    </row>
    <row r="36" spans="6:176" ht="20.100000000000001" customHeight="1" x14ac:dyDescent="0.25">
      <c r="F36" s="3">
        <v>27</v>
      </c>
      <c r="H36" s="16"/>
      <c r="I36" s="94">
        <f t="shared" si="12"/>
        <v>0</v>
      </c>
      <c r="J36" s="120"/>
      <c r="K36" s="95" t="str">
        <f t="shared" si="0"/>
        <v/>
      </c>
      <c r="L36" s="668"/>
      <c r="M36" s="668"/>
      <c r="N36" s="668"/>
      <c r="O36" s="668"/>
      <c r="P36" s="668"/>
      <c r="Q36" s="668"/>
      <c r="R36" s="668"/>
      <c r="S36" s="668"/>
      <c r="T36" s="668"/>
      <c r="U36" s="669"/>
      <c r="V36" s="96"/>
      <c r="W36" s="97">
        <f t="shared" si="13"/>
        <v>0</v>
      </c>
      <c r="X36" s="121"/>
      <c r="Y36" s="98" t="str">
        <f t="shared" si="1"/>
        <v/>
      </c>
      <c r="Z36" s="670"/>
      <c r="AA36" s="670"/>
      <c r="AB36" s="670"/>
      <c r="AC36" s="670"/>
      <c r="AD36" s="670"/>
      <c r="AE36" s="670"/>
      <c r="AF36" s="670"/>
      <c r="AG36" s="670"/>
      <c r="AH36" s="670"/>
      <c r="AI36" s="671"/>
      <c r="AJ36" s="96"/>
      <c r="AK36" s="99">
        <f t="shared" si="14"/>
        <v>0</v>
      </c>
      <c r="AL36" s="122"/>
      <c r="AM36" s="100" t="str">
        <f t="shared" si="2"/>
        <v/>
      </c>
      <c r="AN36" s="672"/>
      <c r="AO36" s="672"/>
      <c r="AP36" s="672"/>
      <c r="AQ36" s="672"/>
      <c r="AR36" s="672"/>
      <c r="AS36" s="672"/>
      <c r="AT36" s="672"/>
      <c r="AU36" s="672"/>
      <c r="AV36" s="672"/>
      <c r="AW36" s="673"/>
      <c r="AX36" s="96"/>
      <c r="AY36" s="101">
        <f t="shared" si="15"/>
        <v>0</v>
      </c>
      <c r="AZ36" s="424"/>
      <c r="BA36" s="102" t="str">
        <f t="shared" si="3"/>
        <v/>
      </c>
      <c r="BB36" s="674"/>
      <c r="BC36" s="674"/>
      <c r="BD36" s="674"/>
      <c r="BE36" s="674"/>
      <c r="BF36" s="674"/>
      <c r="BG36" s="674"/>
      <c r="BH36" s="674"/>
      <c r="BI36" s="674"/>
      <c r="BJ36" s="674"/>
      <c r="BK36" s="675"/>
      <c r="BL36" s="96"/>
      <c r="BM36" s="103">
        <f t="shared" si="16"/>
        <v>0</v>
      </c>
      <c r="BN36" s="426"/>
      <c r="BO36" s="104" t="str">
        <f t="shared" si="4"/>
        <v/>
      </c>
      <c r="BP36" s="676"/>
      <c r="BQ36" s="676"/>
      <c r="BR36" s="676"/>
      <c r="BS36" s="676"/>
      <c r="BT36" s="676"/>
      <c r="BU36" s="676"/>
      <c r="BV36" s="676"/>
      <c r="BW36" s="676"/>
      <c r="BX36" s="676"/>
      <c r="BY36" s="677"/>
      <c r="BZ36" s="96"/>
      <c r="CA36" s="105">
        <f t="shared" si="17"/>
        <v>0</v>
      </c>
      <c r="CB36" s="429"/>
      <c r="CC36" s="106" t="str">
        <f t="shared" si="5"/>
        <v/>
      </c>
      <c r="CD36" s="666"/>
      <c r="CE36" s="666"/>
      <c r="CF36" s="666"/>
      <c r="CG36" s="666"/>
      <c r="CH36" s="666"/>
      <c r="CI36" s="666"/>
      <c r="CJ36" s="666"/>
      <c r="CK36" s="666"/>
      <c r="CL36" s="666"/>
      <c r="CM36" s="667"/>
      <c r="CN36" s="107"/>
      <c r="CO36" s="94">
        <f t="shared" si="18"/>
        <v>0</v>
      </c>
      <c r="CP36" s="120"/>
      <c r="CQ36" s="95" t="str">
        <f t="shared" si="6"/>
        <v/>
      </c>
      <c r="CR36" s="668"/>
      <c r="CS36" s="668"/>
      <c r="CT36" s="668"/>
      <c r="CU36" s="668"/>
      <c r="CV36" s="668"/>
      <c r="CW36" s="668"/>
      <c r="CX36" s="668"/>
      <c r="CY36" s="668"/>
      <c r="CZ36" s="668"/>
      <c r="DA36" s="669"/>
      <c r="DB36" s="96"/>
      <c r="DC36" s="97">
        <f t="shared" si="19"/>
        <v>0</v>
      </c>
      <c r="DD36" s="121"/>
      <c r="DE36" s="98" t="str">
        <f t="shared" si="7"/>
        <v/>
      </c>
      <c r="DF36" s="670"/>
      <c r="DG36" s="670"/>
      <c r="DH36" s="670"/>
      <c r="DI36" s="670"/>
      <c r="DJ36" s="670"/>
      <c r="DK36" s="670"/>
      <c r="DL36" s="670"/>
      <c r="DM36" s="670"/>
      <c r="DN36" s="670"/>
      <c r="DO36" s="671"/>
      <c r="DP36" s="96"/>
      <c r="DQ36" s="99">
        <f t="shared" si="20"/>
        <v>0</v>
      </c>
      <c r="DR36" s="122"/>
      <c r="DS36" s="100" t="str">
        <f t="shared" si="8"/>
        <v/>
      </c>
      <c r="DT36" s="672"/>
      <c r="DU36" s="672"/>
      <c r="DV36" s="672"/>
      <c r="DW36" s="672"/>
      <c r="DX36" s="672"/>
      <c r="DY36" s="672"/>
      <c r="DZ36" s="672"/>
      <c r="EA36" s="672"/>
      <c r="EB36" s="672"/>
      <c r="EC36" s="673"/>
      <c r="ED36" s="96"/>
      <c r="EE36" s="101">
        <f t="shared" si="21"/>
        <v>0</v>
      </c>
      <c r="EF36" s="424"/>
      <c r="EG36" s="102" t="str">
        <f t="shared" si="9"/>
        <v/>
      </c>
      <c r="EH36" s="674"/>
      <c r="EI36" s="674"/>
      <c r="EJ36" s="674"/>
      <c r="EK36" s="674"/>
      <c r="EL36" s="674"/>
      <c r="EM36" s="674"/>
      <c r="EN36" s="674"/>
      <c r="EO36" s="674"/>
      <c r="EP36" s="674"/>
      <c r="EQ36" s="675"/>
      <c r="ER36" s="96"/>
      <c r="ES36" s="103">
        <f t="shared" si="22"/>
        <v>0</v>
      </c>
      <c r="ET36" s="426"/>
      <c r="EU36" s="104" t="str">
        <f t="shared" si="10"/>
        <v/>
      </c>
      <c r="EV36" s="676"/>
      <c r="EW36" s="676"/>
      <c r="EX36" s="676"/>
      <c r="EY36" s="676"/>
      <c r="EZ36" s="676"/>
      <c r="FA36" s="676"/>
      <c r="FB36" s="676"/>
      <c r="FC36" s="676"/>
      <c r="FD36" s="676"/>
      <c r="FE36" s="677"/>
      <c r="FF36" s="96"/>
      <c r="FG36" s="105">
        <f t="shared" si="23"/>
        <v>0</v>
      </c>
      <c r="FH36" s="429"/>
      <c r="FI36" s="106" t="str">
        <f t="shared" si="11"/>
        <v/>
      </c>
      <c r="FJ36" s="666"/>
      <c r="FK36" s="666"/>
      <c r="FL36" s="666"/>
      <c r="FM36" s="666"/>
      <c r="FN36" s="666"/>
      <c r="FO36" s="666"/>
      <c r="FP36" s="666"/>
      <c r="FQ36" s="666"/>
      <c r="FR36" s="666"/>
      <c r="FS36" s="667"/>
      <c r="FT36" s="107"/>
    </row>
    <row r="37" spans="6:176" ht="20.100000000000001" customHeight="1" x14ac:dyDescent="0.25">
      <c r="F37" s="3">
        <v>28</v>
      </c>
      <c r="H37" s="16"/>
      <c r="I37" s="94">
        <f t="shared" si="12"/>
        <v>0</v>
      </c>
      <c r="J37" s="120"/>
      <c r="K37" s="95" t="str">
        <f t="shared" si="0"/>
        <v/>
      </c>
      <c r="L37" s="668"/>
      <c r="M37" s="668"/>
      <c r="N37" s="668"/>
      <c r="O37" s="668"/>
      <c r="P37" s="668"/>
      <c r="Q37" s="668"/>
      <c r="R37" s="668"/>
      <c r="S37" s="668"/>
      <c r="T37" s="668"/>
      <c r="U37" s="669"/>
      <c r="V37" s="96"/>
      <c r="W37" s="97">
        <f t="shared" si="13"/>
        <v>0</v>
      </c>
      <c r="X37" s="121"/>
      <c r="Y37" s="98" t="str">
        <f t="shared" si="1"/>
        <v/>
      </c>
      <c r="Z37" s="670"/>
      <c r="AA37" s="670"/>
      <c r="AB37" s="670"/>
      <c r="AC37" s="670"/>
      <c r="AD37" s="670"/>
      <c r="AE37" s="670"/>
      <c r="AF37" s="670"/>
      <c r="AG37" s="670"/>
      <c r="AH37" s="670"/>
      <c r="AI37" s="671"/>
      <c r="AJ37" s="96"/>
      <c r="AK37" s="99">
        <f t="shared" si="14"/>
        <v>0</v>
      </c>
      <c r="AL37" s="122"/>
      <c r="AM37" s="100" t="str">
        <f t="shared" si="2"/>
        <v/>
      </c>
      <c r="AN37" s="672"/>
      <c r="AO37" s="672"/>
      <c r="AP37" s="672"/>
      <c r="AQ37" s="672"/>
      <c r="AR37" s="672"/>
      <c r="AS37" s="672"/>
      <c r="AT37" s="672"/>
      <c r="AU37" s="672"/>
      <c r="AV37" s="672"/>
      <c r="AW37" s="673"/>
      <c r="AX37" s="96"/>
      <c r="AY37" s="101">
        <f t="shared" si="15"/>
        <v>0</v>
      </c>
      <c r="AZ37" s="424"/>
      <c r="BA37" s="102" t="str">
        <f t="shared" si="3"/>
        <v/>
      </c>
      <c r="BB37" s="674"/>
      <c r="BC37" s="674"/>
      <c r="BD37" s="674"/>
      <c r="BE37" s="674"/>
      <c r="BF37" s="674"/>
      <c r="BG37" s="674"/>
      <c r="BH37" s="674"/>
      <c r="BI37" s="674"/>
      <c r="BJ37" s="674"/>
      <c r="BK37" s="675"/>
      <c r="BL37" s="96"/>
      <c r="BM37" s="103">
        <f t="shared" si="16"/>
        <v>0</v>
      </c>
      <c r="BN37" s="426"/>
      <c r="BO37" s="104" t="str">
        <f t="shared" si="4"/>
        <v/>
      </c>
      <c r="BP37" s="676"/>
      <c r="BQ37" s="676"/>
      <c r="BR37" s="676"/>
      <c r="BS37" s="676"/>
      <c r="BT37" s="676"/>
      <c r="BU37" s="676"/>
      <c r="BV37" s="676"/>
      <c r="BW37" s="676"/>
      <c r="BX37" s="676"/>
      <c r="BY37" s="677"/>
      <c r="BZ37" s="96"/>
      <c r="CA37" s="105">
        <f t="shared" si="17"/>
        <v>0</v>
      </c>
      <c r="CB37" s="429"/>
      <c r="CC37" s="106" t="str">
        <f t="shared" si="5"/>
        <v/>
      </c>
      <c r="CD37" s="666"/>
      <c r="CE37" s="666"/>
      <c r="CF37" s="666"/>
      <c r="CG37" s="666"/>
      <c r="CH37" s="666"/>
      <c r="CI37" s="666"/>
      <c r="CJ37" s="666"/>
      <c r="CK37" s="666"/>
      <c r="CL37" s="666"/>
      <c r="CM37" s="667"/>
      <c r="CN37" s="107"/>
      <c r="CO37" s="94">
        <f t="shared" si="18"/>
        <v>0</v>
      </c>
      <c r="CP37" s="120"/>
      <c r="CQ37" s="95" t="str">
        <f t="shared" si="6"/>
        <v/>
      </c>
      <c r="CR37" s="668"/>
      <c r="CS37" s="668"/>
      <c r="CT37" s="668"/>
      <c r="CU37" s="668"/>
      <c r="CV37" s="668"/>
      <c r="CW37" s="668"/>
      <c r="CX37" s="668"/>
      <c r="CY37" s="668"/>
      <c r="CZ37" s="668"/>
      <c r="DA37" s="669"/>
      <c r="DB37" s="96"/>
      <c r="DC37" s="97">
        <f t="shared" si="19"/>
        <v>0</v>
      </c>
      <c r="DD37" s="121"/>
      <c r="DE37" s="98" t="str">
        <f t="shared" si="7"/>
        <v/>
      </c>
      <c r="DF37" s="670"/>
      <c r="DG37" s="670"/>
      <c r="DH37" s="670"/>
      <c r="DI37" s="670"/>
      <c r="DJ37" s="670"/>
      <c r="DK37" s="670"/>
      <c r="DL37" s="670"/>
      <c r="DM37" s="670"/>
      <c r="DN37" s="670"/>
      <c r="DO37" s="671"/>
      <c r="DP37" s="96"/>
      <c r="DQ37" s="99">
        <f t="shared" si="20"/>
        <v>0</v>
      </c>
      <c r="DR37" s="122"/>
      <c r="DS37" s="100" t="str">
        <f t="shared" si="8"/>
        <v/>
      </c>
      <c r="DT37" s="672"/>
      <c r="DU37" s="672"/>
      <c r="DV37" s="672"/>
      <c r="DW37" s="672"/>
      <c r="DX37" s="672"/>
      <c r="DY37" s="672"/>
      <c r="DZ37" s="672"/>
      <c r="EA37" s="672"/>
      <c r="EB37" s="672"/>
      <c r="EC37" s="673"/>
      <c r="ED37" s="96"/>
      <c r="EE37" s="101">
        <f t="shared" si="21"/>
        <v>0</v>
      </c>
      <c r="EF37" s="424"/>
      <c r="EG37" s="102" t="str">
        <f t="shared" si="9"/>
        <v/>
      </c>
      <c r="EH37" s="674"/>
      <c r="EI37" s="674"/>
      <c r="EJ37" s="674"/>
      <c r="EK37" s="674"/>
      <c r="EL37" s="674"/>
      <c r="EM37" s="674"/>
      <c r="EN37" s="674"/>
      <c r="EO37" s="674"/>
      <c r="EP37" s="674"/>
      <c r="EQ37" s="675"/>
      <c r="ER37" s="96"/>
      <c r="ES37" s="103">
        <f t="shared" si="22"/>
        <v>0</v>
      </c>
      <c r="ET37" s="426"/>
      <c r="EU37" s="104" t="str">
        <f t="shared" si="10"/>
        <v/>
      </c>
      <c r="EV37" s="676"/>
      <c r="EW37" s="676"/>
      <c r="EX37" s="676"/>
      <c r="EY37" s="676"/>
      <c r="EZ37" s="676"/>
      <c r="FA37" s="676"/>
      <c r="FB37" s="676"/>
      <c r="FC37" s="676"/>
      <c r="FD37" s="676"/>
      <c r="FE37" s="677"/>
      <c r="FF37" s="96"/>
      <c r="FG37" s="105">
        <f t="shared" si="23"/>
        <v>0</v>
      </c>
      <c r="FH37" s="429"/>
      <c r="FI37" s="106" t="str">
        <f t="shared" si="11"/>
        <v/>
      </c>
      <c r="FJ37" s="666"/>
      <c r="FK37" s="666"/>
      <c r="FL37" s="666"/>
      <c r="FM37" s="666"/>
      <c r="FN37" s="666"/>
      <c r="FO37" s="666"/>
      <c r="FP37" s="666"/>
      <c r="FQ37" s="666"/>
      <c r="FR37" s="666"/>
      <c r="FS37" s="667"/>
      <c r="FT37" s="107"/>
    </row>
    <row r="38" spans="6:176" ht="20.100000000000001" customHeight="1" x14ac:dyDescent="0.25">
      <c r="F38" s="3">
        <v>29</v>
      </c>
      <c r="H38" s="16"/>
      <c r="I38" s="94">
        <f t="shared" si="12"/>
        <v>0</v>
      </c>
      <c r="J38" s="120"/>
      <c r="K38" s="95" t="str">
        <f t="shared" si="0"/>
        <v/>
      </c>
      <c r="L38" s="668"/>
      <c r="M38" s="668"/>
      <c r="N38" s="668"/>
      <c r="O38" s="668"/>
      <c r="P38" s="668"/>
      <c r="Q38" s="668"/>
      <c r="R38" s="668"/>
      <c r="S38" s="668"/>
      <c r="T38" s="668"/>
      <c r="U38" s="669"/>
      <c r="V38" s="96"/>
      <c r="W38" s="97">
        <f t="shared" si="13"/>
        <v>0</v>
      </c>
      <c r="X38" s="121"/>
      <c r="Y38" s="98" t="str">
        <f t="shared" si="1"/>
        <v/>
      </c>
      <c r="Z38" s="670"/>
      <c r="AA38" s="670"/>
      <c r="AB38" s="670"/>
      <c r="AC38" s="670"/>
      <c r="AD38" s="670"/>
      <c r="AE38" s="670"/>
      <c r="AF38" s="670"/>
      <c r="AG38" s="670"/>
      <c r="AH38" s="670"/>
      <c r="AI38" s="671"/>
      <c r="AJ38" s="96"/>
      <c r="AK38" s="99">
        <f t="shared" si="14"/>
        <v>0</v>
      </c>
      <c r="AL38" s="122"/>
      <c r="AM38" s="100" t="str">
        <f t="shared" si="2"/>
        <v/>
      </c>
      <c r="AN38" s="672"/>
      <c r="AO38" s="672"/>
      <c r="AP38" s="672"/>
      <c r="AQ38" s="672"/>
      <c r="AR38" s="672"/>
      <c r="AS38" s="672"/>
      <c r="AT38" s="672"/>
      <c r="AU38" s="672"/>
      <c r="AV38" s="672"/>
      <c r="AW38" s="673"/>
      <c r="AX38" s="96"/>
      <c r="AY38" s="101">
        <f t="shared" si="15"/>
        <v>0</v>
      </c>
      <c r="AZ38" s="424"/>
      <c r="BA38" s="102" t="str">
        <f t="shared" si="3"/>
        <v/>
      </c>
      <c r="BB38" s="674"/>
      <c r="BC38" s="674"/>
      <c r="BD38" s="674"/>
      <c r="BE38" s="674"/>
      <c r="BF38" s="674"/>
      <c r="BG38" s="674"/>
      <c r="BH38" s="674"/>
      <c r="BI38" s="674"/>
      <c r="BJ38" s="674"/>
      <c r="BK38" s="675"/>
      <c r="BL38" s="96"/>
      <c r="BM38" s="103">
        <f t="shared" si="16"/>
        <v>0</v>
      </c>
      <c r="BN38" s="426"/>
      <c r="BO38" s="104" t="str">
        <f t="shared" si="4"/>
        <v/>
      </c>
      <c r="BP38" s="676"/>
      <c r="BQ38" s="676"/>
      <c r="BR38" s="676"/>
      <c r="BS38" s="676"/>
      <c r="BT38" s="676"/>
      <c r="BU38" s="676"/>
      <c r="BV38" s="676"/>
      <c r="BW38" s="676"/>
      <c r="BX38" s="676"/>
      <c r="BY38" s="677"/>
      <c r="BZ38" s="96"/>
      <c r="CA38" s="105">
        <f t="shared" si="17"/>
        <v>0</v>
      </c>
      <c r="CB38" s="429"/>
      <c r="CC38" s="106" t="str">
        <f t="shared" si="5"/>
        <v/>
      </c>
      <c r="CD38" s="666"/>
      <c r="CE38" s="666"/>
      <c r="CF38" s="666"/>
      <c r="CG38" s="666"/>
      <c r="CH38" s="666"/>
      <c r="CI38" s="666"/>
      <c r="CJ38" s="666"/>
      <c r="CK38" s="666"/>
      <c r="CL38" s="666"/>
      <c r="CM38" s="667"/>
      <c r="CN38" s="107"/>
      <c r="CO38" s="94">
        <f t="shared" si="18"/>
        <v>0</v>
      </c>
      <c r="CP38" s="120"/>
      <c r="CQ38" s="95" t="str">
        <f t="shared" si="6"/>
        <v/>
      </c>
      <c r="CR38" s="668"/>
      <c r="CS38" s="668"/>
      <c r="CT38" s="668"/>
      <c r="CU38" s="668"/>
      <c r="CV38" s="668"/>
      <c r="CW38" s="668"/>
      <c r="CX38" s="668"/>
      <c r="CY38" s="668"/>
      <c r="CZ38" s="668"/>
      <c r="DA38" s="669"/>
      <c r="DB38" s="96"/>
      <c r="DC38" s="97">
        <f t="shared" si="19"/>
        <v>0</v>
      </c>
      <c r="DD38" s="121"/>
      <c r="DE38" s="98" t="str">
        <f t="shared" si="7"/>
        <v/>
      </c>
      <c r="DF38" s="670"/>
      <c r="DG38" s="670"/>
      <c r="DH38" s="670"/>
      <c r="DI38" s="670"/>
      <c r="DJ38" s="670"/>
      <c r="DK38" s="670"/>
      <c r="DL38" s="670"/>
      <c r="DM38" s="670"/>
      <c r="DN38" s="670"/>
      <c r="DO38" s="671"/>
      <c r="DP38" s="96"/>
      <c r="DQ38" s="99">
        <f t="shared" si="20"/>
        <v>0</v>
      </c>
      <c r="DR38" s="122"/>
      <c r="DS38" s="100" t="str">
        <f t="shared" si="8"/>
        <v/>
      </c>
      <c r="DT38" s="672"/>
      <c r="DU38" s="672"/>
      <c r="DV38" s="672"/>
      <c r="DW38" s="672"/>
      <c r="DX38" s="672"/>
      <c r="DY38" s="672"/>
      <c r="DZ38" s="672"/>
      <c r="EA38" s="672"/>
      <c r="EB38" s="672"/>
      <c r="EC38" s="673"/>
      <c r="ED38" s="96"/>
      <c r="EE38" s="101">
        <f t="shared" si="21"/>
        <v>0</v>
      </c>
      <c r="EF38" s="424"/>
      <c r="EG38" s="102" t="str">
        <f t="shared" si="9"/>
        <v/>
      </c>
      <c r="EH38" s="674"/>
      <c r="EI38" s="674"/>
      <c r="EJ38" s="674"/>
      <c r="EK38" s="674"/>
      <c r="EL38" s="674"/>
      <c r="EM38" s="674"/>
      <c r="EN38" s="674"/>
      <c r="EO38" s="674"/>
      <c r="EP38" s="674"/>
      <c r="EQ38" s="675"/>
      <c r="ER38" s="96"/>
      <c r="ES38" s="103">
        <f t="shared" si="22"/>
        <v>0</v>
      </c>
      <c r="ET38" s="426"/>
      <c r="EU38" s="104" t="str">
        <f t="shared" si="10"/>
        <v/>
      </c>
      <c r="EV38" s="676"/>
      <c r="EW38" s="676"/>
      <c r="EX38" s="676"/>
      <c r="EY38" s="676"/>
      <c r="EZ38" s="676"/>
      <c r="FA38" s="676"/>
      <c r="FB38" s="676"/>
      <c r="FC38" s="676"/>
      <c r="FD38" s="676"/>
      <c r="FE38" s="677"/>
      <c r="FF38" s="96"/>
      <c r="FG38" s="105">
        <f t="shared" si="23"/>
        <v>0</v>
      </c>
      <c r="FH38" s="429"/>
      <c r="FI38" s="106" t="str">
        <f t="shared" si="11"/>
        <v/>
      </c>
      <c r="FJ38" s="666"/>
      <c r="FK38" s="666"/>
      <c r="FL38" s="666"/>
      <c r="FM38" s="666"/>
      <c r="FN38" s="666"/>
      <c r="FO38" s="666"/>
      <c r="FP38" s="666"/>
      <c r="FQ38" s="666"/>
      <c r="FR38" s="666"/>
      <c r="FS38" s="667"/>
      <c r="FT38" s="107"/>
    </row>
    <row r="39" spans="6:176" ht="20.100000000000001" customHeight="1" x14ac:dyDescent="0.25">
      <c r="F39" s="3">
        <v>30</v>
      </c>
      <c r="H39" s="16"/>
      <c r="I39" s="94">
        <f t="shared" si="12"/>
        <v>0</v>
      </c>
      <c r="J39" s="120"/>
      <c r="K39" s="95" t="str">
        <f t="shared" si="0"/>
        <v/>
      </c>
      <c r="L39" s="668"/>
      <c r="M39" s="668"/>
      <c r="N39" s="668"/>
      <c r="O39" s="668"/>
      <c r="P39" s="668"/>
      <c r="Q39" s="668"/>
      <c r="R39" s="668"/>
      <c r="S39" s="668"/>
      <c r="T39" s="668"/>
      <c r="U39" s="669"/>
      <c r="V39" s="96"/>
      <c r="W39" s="97">
        <f t="shared" si="13"/>
        <v>0</v>
      </c>
      <c r="X39" s="121"/>
      <c r="Y39" s="98" t="str">
        <f t="shared" si="1"/>
        <v/>
      </c>
      <c r="Z39" s="670"/>
      <c r="AA39" s="670"/>
      <c r="AB39" s="670"/>
      <c r="AC39" s="670"/>
      <c r="AD39" s="670"/>
      <c r="AE39" s="670"/>
      <c r="AF39" s="670"/>
      <c r="AG39" s="670"/>
      <c r="AH39" s="670"/>
      <c r="AI39" s="671"/>
      <c r="AJ39" s="96"/>
      <c r="AK39" s="99">
        <f t="shared" si="14"/>
        <v>0</v>
      </c>
      <c r="AL39" s="122"/>
      <c r="AM39" s="100" t="str">
        <f t="shared" si="2"/>
        <v/>
      </c>
      <c r="AN39" s="672"/>
      <c r="AO39" s="672"/>
      <c r="AP39" s="672"/>
      <c r="AQ39" s="672"/>
      <c r="AR39" s="672"/>
      <c r="AS39" s="672"/>
      <c r="AT39" s="672"/>
      <c r="AU39" s="672"/>
      <c r="AV39" s="672"/>
      <c r="AW39" s="673"/>
      <c r="AX39" s="96"/>
      <c r="AY39" s="101">
        <f t="shared" si="15"/>
        <v>0</v>
      </c>
      <c r="AZ39" s="424"/>
      <c r="BA39" s="102" t="str">
        <f t="shared" si="3"/>
        <v/>
      </c>
      <c r="BB39" s="674"/>
      <c r="BC39" s="674"/>
      <c r="BD39" s="674"/>
      <c r="BE39" s="674"/>
      <c r="BF39" s="674"/>
      <c r="BG39" s="674"/>
      <c r="BH39" s="674"/>
      <c r="BI39" s="674"/>
      <c r="BJ39" s="674"/>
      <c r="BK39" s="675"/>
      <c r="BL39" s="96"/>
      <c r="BM39" s="103">
        <f t="shared" si="16"/>
        <v>0</v>
      </c>
      <c r="BN39" s="426"/>
      <c r="BO39" s="104" t="str">
        <f t="shared" si="4"/>
        <v/>
      </c>
      <c r="BP39" s="676"/>
      <c r="BQ39" s="676"/>
      <c r="BR39" s="676"/>
      <c r="BS39" s="676"/>
      <c r="BT39" s="676"/>
      <c r="BU39" s="676"/>
      <c r="BV39" s="676"/>
      <c r="BW39" s="676"/>
      <c r="BX39" s="676"/>
      <c r="BY39" s="677"/>
      <c r="BZ39" s="96"/>
      <c r="CA39" s="105">
        <f t="shared" si="17"/>
        <v>0</v>
      </c>
      <c r="CB39" s="429"/>
      <c r="CC39" s="106" t="str">
        <f t="shared" si="5"/>
        <v/>
      </c>
      <c r="CD39" s="666"/>
      <c r="CE39" s="666"/>
      <c r="CF39" s="666"/>
      <c r="CG39" s="666"/>
      <c r="CH39" s="666"/>
      <c r="CI39" s="666"/>
      <c r="CJ39" s="666"/>
      <c r="CK39" s="666"/>
      <c r="CL39" s="666"/>
      <c r="CM39" s="667"/>
      <c r="CN39" s="107"/>
      <c r="CO39" s="94">
        <f t="shared" si="18"/>
        <v>0</v>
      </c>
      <c r="CP39" s="120"/>
      <c r="CQ39" s="95" t="str">
        <f t="shared" si="6"/>
        <v/>
      </c>
      <c r="CR39" s="668"/>
      <c r="CS39" s="668"/>
      <c r="CT39" s="668"/>
      <c r="CU39" s="668"/>
      <c r="CV39" s="668"/>
      <c r="CW39" s="668"/>
      <c r="CX39" s="668"/>
      <c r="CY39" s="668"/>
      <c r="CZ39" s="668"/>
      <c r="DA39" s="669"/>
      <c r="DB39" s="96"/>
      <c r="DC39" s="97">
        <f t="shared" si="19"/>
        <v>0</v>
      </c>
      <c r="DD39" s="121"/>
      <c r="DE39" s="98" t="str">
        <f t="shared" si="7"/>
        <v/>
      </c>
      <c r="DF39" s="670"/>
      <c r="DG39" s="670"/>
      <c r="DH39" s="670"/>
      <c r="DI39" s="670"/>
      <c r="DJ39" s="670"/>
      <c r="DK39" s="670"/>
      <c r="DL39" s="670"/>
      <c r="DM39" s="670"/>
      <c r="DN39" s="670"/>
      <c r="DO39" s="671"/>
      <c r="DP39" s="96"/>
      <c r="DQ39" s="99">
        <f t="shared" si="20"/>
        <v>0</v>
      </c>
      <c r="DR39" s="122"/>
      <c r="DS39" s="100" t="str">
        <f t="shared" si="8"/>
        <v/>
      </c>
      <c r="DT39" s="672"/>
      <c r="DU39" s="672"/>
      <c r="DV39" s="672"/>
      <c r="DW39" s="672"/>
      <c r="DX39" s="672"/>
      <c r="DY39" s="672"/>
      <c r="DZ39" s="672"/>
      <c r="EA39" s="672"/>
      <c r="EB39" s="672"/>
      <c r="EC39" s="673"/>
      <c r="ED39" s="96"/>
      <c r="EE39" s="101">
        <f t="shared" si="21"/>
        <v>0</v>
      </c>
      <c r="EF39" s="424"/>
      <c r="EG39" s="102" t="str">
        <f t="shared" si="9"/>
        <v/>
      </c>
      <c r="EH39" s="674"/>
      <c r="EI39" s="674"/>
      <c r="EJ39" s="674"/>
      <c r="EK39" s="674"/>
      <c r="EL39" s="674"/>
      <c r="EM39" s="674"/>
      <c r="EN39" s="674"/>
      <c r="EO39" s="674"/>
      <c r="EP39" s="674"/>
      <c r="EQ39" s="675"/>
      <c r="ER39" s="96"/>
      <c r="ES39" s="103">
        <f t="shared" si="22"/>
        <v>0</v>
      </c>
      <c r="ET39" s="426"/>
      <c r="EU39" s="104" t="str">
        <f t="shared" si="10"/>
        <v/>
      </c>
      <c r="EV39" s="676"/>
      <c r="EW39" s="676"/>
      <c r="EX39" s="676"/>
      <c r="EY39" s="676"/>
      <c r="EZ39" s="676"/>
      <c r="FA39" s="676"/>
      <c r="FB39" s="676"/>
      <c r="FC39" s="676"/>
      <c r="FD39" s="676"/>
      <c r="FE39" s="677"/>
      <c r="FF39" s="96"/>
      <c r="FG39" s="105">
        <f t="shared" si="23"/>
        <v>0</v>
      </c>
      <c r="FH39" s="429"/>
      <c r="FI39" s="106" t="str">
        <f t="shared" si="11"/>
        <v/>
      </c>
      <c r="FJ39" s="666"/>
      <c r="FK39" s="666"/>
      <c r="FL39" s="666"/>
      <c r="FM39" s="666"/>
      <c r="FN39" s="666"/>
      <c r="FO39" s="666"/>
      <c r="FP39" s="666"/>
      <c r="FQ39" s="666"/>
      <c r="FR39" s="666"/>
      <c r="FS39" s="667"/>
      <c r="FT39" s="107"/>
    </row>
    <row r="40" spans="6:176" ht="20.100000000000001" customHeight="1" thickBot="1" x14ac:dyDescent="0.3">
      <c r="F40" s="3">
        <v>31</v>
      </c>
      <c r="H40" s="16"/>
      <c r="I40" s="108">
        <f t="shared" si="12"/>
        <v>0</v>
      </c>
      <c r="J40" s="120"/>
      <c r="K40" s="109" t="str">
        <f t="shared" si="0"/>
        <v/>
      </c>
      <c r="L40" s="656"/>
      <c r="M40" s="656"/>
      <c r="N40" s="656"/>
      <c r="O40" s="656"/>
      <c r="P40" s="656"/>
      <c r="Q40" s="656"/>
      <c r="R40" s="656"/>
      <c r="S40" s="656"/>
      <c r="T40" s="656"/>
      <c r="U40" s="657"/>
      <c r="V40" s="96"/>
      <c r="W40" s="110">
        <f t="shared" si="13"/>
        <v>0</v>
      </c>
      <c r="X40" s="121"/>
      <c r="Y40" s="111" t="str">
        <f t="shared" si="1"/>
        <v/>
      </c>
      <c r="Z40" s="658"/>
      <c r="AA40" s="658"/>
      <c r="AB40" s="658"/>
      <c r="AC40" s="658"/>
      <c r="AD40" s="658"/>
      <c r="AE40" s="658"/>
      <c r="AF40" s="658"/>
      <c r="AG40" s="658"/>
      <c r="AH40" s="658"/>
      <c r="AI40" s="659"/>
      <c r="AJ40" s="96"/>
      <c r="AK40" s="112">
        <f t="shared" si="14"/>
        <v>0</v>
      </c>
      <c r="AL40" s="122"/>
      <c r="AM40" s="113" t="str">
        <f t="shared" si="2"/>
        <v/>
      </c>
      <c r="AN40" s="660"/>
      <c r="AO40" s="660"/>
      <c r="AP40" s="660"/>
      <c r="AQ40" s="660"/>
      <c r="AR40" s="660"/>
      <c r="AS40" s="660"/>
      <c r="AT40" s="660"/>
      <c r="AU40" s="660"/>
      <c r="AV40" s="660"/>
      <c r="AW40" s="661"/>
      <c r="AX40" s="96"/>
      <c r="AY40" s="114">
        <f t="shared" si="15"/>
        <v>0</v>
      </c>
      <c r="AZ40" s="425"/>
      <c r="BA40" s="115" t="str">
        <f t="shared" si="3"/>
        <v/>
      </c>
      <c r="BB40" s="662"/>
      <c r="BC40" s="662"/>
      <c r="BD40" s="662"/>
      <c r="BE40" s="662"/>
      <c r="BF40" s="662"/>
      <c r="BG40" s="662"/>
      <c r="BH40" s="662"/>
      <c r="BI40" s="662"/>
      <c r="BJ40" s="662"/>
      <c r="BK40" s="663"/>
      <c r="BL40" s="96"/>
      <c r="BM40" s="116">
        <f t="shared" si="16"/>
        <v>0</v>
      </c>
      <c r="BN40" s="427"/>
      <c r="BO40" s="117" t="str">
        <f t="shared" si="4"/>
        <v/>
      </c>
      <c r="BP40" s="664"/>
      <c r="BQ40" s="664"/>
      <c r="BR40" s="664"/>
      <c r="BS40" s="664"/>
      <c r="BT40" s="664"/>
      <c r="BU40" s="664"/>
      <c r="BV40" s="664"/>
      <c r="BW40" s="664"/>
      <c r="BX40" s="664"/>
      <c r="BY40" s="665"/>
      <c r="BZ40" s="96"/>
      <c r="CA40" s="118">
        <f t="shared" si="17"/>
        <v>0</v>
      </c>
      <c r="CB40" s="430"/>
      <c r="CC40" s="119" t="str">
        <f t="shared" si="5"/>
        <v/>
      </c>
      <c r="CD40" s="654"/>
      <c r="CE40" s="654"/>
      <c r="CF40" s="654"/>
      <c r="CG40" s="654"/>
      <c r="CH40" s="654"/>
      <c r="CI40" s="654"/>
      <c r="CJ40" s="654"/>
      <c r="CK40" s="654"/>
      <c r="CL40" s="654"/>
      <c r="CM40" s="655"/>
      <c r="CN40" s="107"/>
      <c r="CO40" s="108">
        <f t="shared" si="18"/>
        <v>0</v>
      </c>
      <c r="CP40" s="120"/>
      <c r="CQ40" s="109" t="str">
        <f t="shared" si="6"/>
        <v/>
      </c>
      <c r="CR40" s="656"/>
      <c r="CS40" s="656"/>
      <c r="CT40" s="656"/>
      <c r="CU40" s="656"/>
      <c r="CV40" s="656"/>
      <c r="CW40" s="656"/>
      <c r="CX40" s="656"/>
      <c r="CY40" s="656"/>
      <c r="CZ40" s="656"/>
      <c r="DA40" s="657"/>
      <c r="DB40" s="96"/>
      <c r="DC40" s="110">
        <f t="shared" si="19"/>
        <v>0</v>
      </c>
      <c r="DD40" s="121"/>
      <c r="DE40" s="111" t="str">
        <f t="shared" si="7"/>
        <v/>
      </c>
      <c r="DF40" s="658"/>
      <c r="DG40" s="658"/>
      <c r="DH40" s="658"/>
      <c r="DI40" s="658"/>
      <c r="DJ40" s="658"/>
      <c r="DK40" s="658"/>
      <c r="DL40" s="658"/>
      <c r="DM40" s="658"/>
      <c r="DN40" s="658"/>
      <c r="DO40" s="659"/>
      <c r="DP40" s="96"/>
      <c r="DQ40" s="112">
        <f t="shared" si="20"/>
        <v>0</v>
      </c>
      <c r="DR40" s="122"/>
      <c r="DS40" s="113" t="str">
        <f t="shared" si="8"/>
        <v/>
      </c>
      <c r="DT40" s="660"/>
      <c r="DU40" s="660"/>
      <c r="DV40" s="660"/>
      <c r="DW40" s="660"/>
      <c r="DX40" s="660"/>
      <c r="DY40" s="660"/>
      <c r="DZ40" s="660"/>
      <c r="EA40" s="660"/>
      <c r="EB40" s="660"/>
      <c r="EC40" s="661"/>
      <c r="ED40" s="96"/>
      <c r="EE40" s="114">
        <f t="shared" si="21"/>
        <v>0</v>
      </c>
      <c r="EF40" s="425"/>
      <c r="EG40" s="115" t="str">
        <f t="shared" si="9"/>
        <v/>
      </c>
      <c r="EH40" s="662"/>
      <c r="EI40" s="662"/>
      <c r="EJ40" s="662"/>
      <c r="EK40" s="662"/>
      <c r="EL40" s="662"/>
      <c r="EM40" s="662"/>
      <c r="EN40" s="662"/>
      <c r="EO40" s="662"/>
      <c r="EP40" s="662"/>
      <c r="EQ40" s="663"/>
      <c r="ER40" s="96"/>
      <c r="ES40" s="116">
        <f t="shared" si="22"/>
        <v>0</v>
      </c>
      <c r="ET40" s="427"/>
      <c r="EU40" s="117" t="str">
        <f t="shared" si="10"/>
        <v/>
      </c>
      <c r="EV40" s="664"/>
      <c r="EW40" s="664"/>
      <c r="EX40" s="664"/>
      <c r="EY40" s="664"/>
      <c r="EZ40" s="664"/>
      <c r="FA40" s="664"/>
      <c r="FB40" s="664"/>
      <c r="FC40" s="664"/>
      <c r="FD40" s="664"/>
      <c r="FE40" s="665"/>
      <c r="FF40" s="96"/>
      <c r="FG40" s="118">
        <f t="shared" si="23"/>
        <v>0</v>
      </c>
      <c r="FH40" s="430"/>
      <c r="FI40" s="119" t="str">
        <f t="shared" si="11"/>
        <v/>
      </c>
      <c r="FJ40" s="654"/>
      <c r="FK40" s="654"/>
      <c r="FL40" s="654"/>
      <c r="FM40" s="654"/>
      <c r="FN40" s="654"/>
      <c r="FO40" s="654"/>
      <c r="FP40" s="654"/>
      <c r="FQ40" s="654"/>
      <c r="FR40" s="654"/>
      <c r="FS40" s="655"/>
      <c r="FT40" s="107"/>
    </row>
    <row r="41" spans="6:176" ht="18" x14ac:dyDescent="0.25">
      <c r="H41" s="16"/>
      <c r="I41" s="16"/>
      <c r="J41" s="16"/>
      <c r="K41" s="16"/>
      <c r="L41" s="16"/>
      <c r="M41" s="16"/>
      <c r="N41" s="16"/>
      <c r="O41" s="16"/>
      <c r="P41" s="16"/>
      <c r="Q41" s="16"/>
      <c r="R41" s="16"/>
      <c r="S41" s="16"/>
      <c r="T41" s="16"/>
      <c r="U41" s="16"/>
      <c r="V41" s="46"/>
      <c r="W41" s="16"/>
      <c r="X41" s="16"/>
      <c r="Y41" s="16"/>
      <c r="Z41" s="16"/>
      <c r="AA41" s="16"/>
      <c r="AB41" s="16"/>
      <c r="AC41" s="16"/>
      <c r="AD41" s="16"/>
      <c r="AE41" s="16"/>
      <c r="AF41" s="16"/>
      <c r="AG41" s="16"/>
      <c r="AH41" s="16"/>
      <c r="AI41" s="16"/>
      <c r="AJ41" s="46"/>
      <c r="AK41" s="16"/>
      <c r="AL41" s="16"/>
      <c r="AM41" s="16"/>
      <c r="AN41" s="16"/>
      <c r="AO41" s="16"/>
      <c r="AP41" s="16"/>
      <c r="AQ41" s="16"/>
      <c r="AR41" s="16"/>
      <c r="AS41" s="16"/>
      <c r="AT41" s="16"/>
      <c r="AU41" s="16"/>
      <c r="AV41" s="16"/>
      <c r="AW41" s="16"/>
      <c r="AX41" s="46"/>
      <c r="AY41" s="16"/>
      <c r="AZ41" s="16"/>
      <c r="BA41" s="16"/>
      <c r="BB41" s="16"/>
      <c r="BC41" s="16"/>
      <c r="BD41" s="16"/>
      <c r="BE41" s="16"/>
      <c r="BF41" s="16"/>
      <c r="BG41" s="16"/>
      <c r="BH41" s="16"/>
      <c r="BI41" s="16"/>
      <c r="BJ41" s="16"/>
      <c r="BK41" s="16"/>
      <c r="BL41" s="46"/>
      <c r="BM41" s="16"/>
      <c r="BN41" s="428"/>
      <c r="BO41" s="16"/>
      <c r="BP41" s="16"/>
      <c r="BQ41" s="16"/>
      <c r="BR41" s="16"/>
      <c r="BS41" s="16"/>
      <c r="BT41" s="16"/>
      <c r="BU41" s="16"/>
      <c r="BV41" s="16"/>
      <c r="BW41" s="16"/>
      <c r="BX41" s="16"/>
      <c r="BY41" s="16"/>
      <c r="BZ41" s="46"/>
      <c r="CA41" s="16"/>
      <c r="CB41" s="16"/>
      <c r="CC41" s="16"/>
      <c r="CD41" s="16"/>
      <c r="CE41" s="16"/>
      <c r="CF41" s="16"/>
      <c r="CG41" s="16"/>
      <c r="CH41" s="16"/>
      <c r="CI41" s="16"/>
      <c r="CJ41" s="16"/>
      <c r="CK41" s="16"/>
      <c r="CL41" s="16"/>
      <c r="CM41" s="16"/>
      <c r="CN41" s="46"/>
      <c r="CO41" s="16"/>
      <c r="CP41" s="16"/>
      <c r="CQ41" s="16"/>
      <c r="CR41" s="16"/>
      <c r="CS41" s="16"/>
      <c r="CT41" s="16"/>
      <c r="CU41" s="16"/>
      <c r="CV41" s="16"/>
      <c r="CW41" s="16"/>
      <c r="CX41" s="16"/>
      <c r="CY41" s="16"/>
      <c r="CZ41" s="16"/>
      <c r="DA41" s="16"/>
      <c r="DB41" s="46"/>
      <c r="DC41" s="16"/>
      <c r="DD41" s="16"/>
      <c r="DE41" s="16"/>
      <c r="DF41" s="16"/>
      <c r="DG41" s="16"/>
      <c r="DH41" s="16"/>
      <c r="DI41" s="16"/>
      <c r="DJ41" s="16"/>
      <c r="DK41" s="16"/>
      <c r="DL41" s="16"/>
      <c r="DM41" s="16"/>
      <c r="DN41" s="16"/>
      <c r="DO41" s="16"/>
      <c r="DP41" s="46"/>
      <c r="DQ41" s="16"/>
      <c r="DR41" s="16"/>
      <c r="DS41" s="16"/>
      <c r="DT41" s="16"/>
      <c r="DU41" s="16"/>
      <c r="DV41" s="16"/>
      <c r="DW41" s="16"/>
      <c r="DX41" s="16"/>
      <c r="DY41" s="16"/>
      <c r="DZ41" s="16"/>
      <c r="EA41" s="16"/>
      <c r="EB41" s="16"/>
      <c r="EC41" s="16"/>
      <c r="ED41" s="46"/>
      <c r="EE41" s="16"/>
      <c r="EF41" s="16"/>
      <c r="EG41" s="16"/>
      <c r="EH41" s="16"/>
      <c r="EI41" s="16"/>
      <c r="EJ41" s="16"/>
      <c r="EK41" s="16"/>
      <c r="EL41" s="16"/>
      <c r="EM41" s="16"/>
      <c r="EN41" s="16"/>
      <c r="EO41" s="16"/>
      <c r="EP41" s="16"/>
      <c r="EQ41" s="16"/>
      <c r="ER41" s="46"/>
      <c r="ES41" s="16"/>
      <c r="ET41" s="16"/>
      <c r="EU41" s="16"/>
      <c r="EV41" s="16"/>
      <c r="EW41" s="16"/>
      <c r="EX41" s="16"/>
      <c r="EY41" s="16"/>
      <c r="EZ41" s="16"/>
      <c r="FA41" s="16"/>
      <c r="FB41" s="16"/>
      <c r="FC41" s="16"/>
      <c r="FD41" s="16"/>
      <c r="FE41" s="16"/>
      <c r="FF41" s="46"/>
      <c r="FG41" s="16"/>
      <c r="FH41" s="16"/>
      <c r="FI41" s="16"/>
      <c r="FJ41" s="16"/>
      <c r="FK41" s="16"/>
      <c r="FL41" s="16"/>
      <c r="FM41" s="16"/>
      <c r="FN41" s="16"/>
      <c r="FO41" s="16"/>
      <c r="FP41" s="16"/>
      <c r="FQ41" s="16"/>
      <c r="FR41" s="16"/>
      <c r="FS41" s="16"/>
      <c r="FT41" s="46"/>
    </row>
  </sheetData>
  <sheetProtection password="F1CA" sheet="1" objects="1" scenarios="1"/>
  <mergeCells count="432">
    <mergeCell ref="K8:K9"/>
    <mergeCell ref="I8:I9"/>
    <mergeCell ref="L8:U9"/>
    <mergeCell ref="L15:U15"/>
    <mergeCell ref="L16:U16"/>
    <mergeCell ref="L17:U17"/>
    <mergeCell ref="L18:U18"/>
    <mergeCell ref="L19:U19"/>
    <mergeCell ref="L10:U10"/>
    <mergeCell ref="L11:U11"/>
    <mergeCell ref="L12:U12"/>
    <mergeCell ref="L13:U13"/>
    <mergeCell ref="L14:U14"/>
    <mergeCell ref="L33:U33"/>
    <mergeCell ref="L34:U34"/>
    <mergeCell ref="L25:U25"/>
    <mergeCell ref="L26:U26"/>
    <mergeCell ref="L27:U27"/>
    <mergeCell ref="L28:U28"/>
    <mergeCell ref="L29:U29"/>
    <mergeCell ref="L20:U20"/>
    <mergeCell ref="L21:U21"/>
    <mergeCell ref="L22:U22"/>
    <mergeCell ref="L23:U23"/>
    <mergeCell ref="L24:U24"/>
    <mergeCell ref="L40:U40"/>
    <mergeCell ref="I7:U7"/>
    <mergeCell ref="I6:U6"/>
    <mergeCell ref="W6:AI6"/>
    <mergeCell ref="W7:AI7"/>
    <mergeCell ref="W8:W9"/>
    <mergeCell ref="Y8:Y9"/>
    <mergeCell ref="Z8:AI9"/>
    <mergeCell ref="Z10:AI10"/>
    <mergeCell ref="Z11:AI11"/>
    <mergeCell ref="Z12:AI12"/>
    <mergeCell ref="Z13:AI13"/>
    <mergeCell ref="Z14:AI14"/>
    <mergeCell ref="Z15:AI15"/>
    <mergeCell ref="Z16:AI16"/>
    <mergeCell ref="Z17:AI17"/>
    <mergeCell ref="L35:U35"/>
    <mergeCell ref="L36:U36"/>
    <mergeCell ref="L37:U37"/>
    <mergeCell ref="L38:U38"/>
    <mergeCell ref="L39:U39"/>
    <mergeCell ref="L30:U30"/>
    <mergeCell ref="L31:U31"/>
    <mergeCell ref="L32:U32"/>
    <mergeCell ref="Z31:AI31"/>
    <mergeCell ref="Z32:AI32"/>
    <mergeCell ref="Z23:AI23"/>
    <mergeCell ref="Z24:AI24"/>
    <mergeCell ref="Z25:AI25"/>
    <mergeCell ref="Z26:AI26"/>
    <mergeCell ref="Z27:AI27"/>
    <mergeCell ref="Z18:AI18"/>
    <mergeCell ref="Z19:AI19"/>
    <mergeCell ref="Z20:AI20"/>
    <mergeCell ref="Z21:AI21"/>
    <mergeCell ref="Z22:AI22"/>
    <mergeCell ref="Z38:AI38"/>
    <mergeCell ref="Z39:AI39"/>
    <mergeCell ref="Z40:AI40"/>
    <mergeCell ref="AK6:AW6"/>
    <mergeCell ref="AK7:AW7"/>
    <mergeCell ref="AK8:AK9"/>
    <mergeCell ref="AM8:AM9"/>
    <mergeCell ref="AN8:AW9"/>
    <mergeCell ref="AN10:AW10"/>
    <mergeCell ref="AN11:AW11"/>
    <mergeCell ref="AN12:AW12"/>
    <mergeCell ref="AN13:AW13"/>
    <mergeCell ref="AN14:AW14"/>
    <mergeCell ref="AN15:AW15"/>
    <mergeCell ref="AN16:AW16"/>
    <mergeCell ref="AN17:AW17"/>
    <mergeCell ref="Z33:AI33"/>
    <mergeCell ref="Z34:AI34"/>
    <mergeCell ref="Z35:AI35"/>
    <mergeCell ref="Z36:AI36"/>
    <mergeCell ref="Z37:AI37"/>
    <mergeCell ref="Z28:AI28"/>
    <mergeCell ref="Z29:AI29"/>
    <mergeCell ref="Z30:AI30"/>
    <mergeCell ref="AN31:AW31"/>
    <mergeCell ref="AN32:AW32"/>
    <mergeCell ref="AN23:AW23"/>
    <mergeCell ref="AN24:AW24"/>
    <mergeCell ref="AN25:AW25"/>
    <mergeCell ref="AN26:AW26"/>
    <mergeCell ref="AN27:AW27"/>
    <mergeCell ref="AN18:AW18"/>
    <mergeCell ref="AN19:AW19"/>
    <mergeCell ref="AN20:AW20"/>
    <mergeCell ref="AN21:AW21"/>
    <mergeCell ref="AN22:AW22"/>
    <mergeCell ref="AN38:AW38"/>
    <mergeCell ref="AN39:AW39"/>
    <mergeCell ref="AN40:AW40"/>
    <mergeCell ref="AY6:BK6"/>
    <mergeCell ref="AY7:BK7"/>
    <mergeCell ref="AY8:AY9"/>
    <mergeCell ref="BA8:BA9"/>
    <mergeCell ref="BB8:BK9"/>
    <mergeCell ref="BB10:BK10"/>
    <mergeCell ref="BB11:BK11"/>
    <mergeCell ref="BB12:BK12"/>
    <mergeCell ref="BB13:BK13"/>
    <mergeCell ref="BB14:BK14"/>
    <mergeCell ref="BB15:BK15"/>
    <mergeCell ref="BB16:BK16"/>
    <mergeCell ref="BB17:BK17"/>
    <mergeCell ref="AN33:AW33"/>
    <mergeCell ref="AN34:AW34"/>
    <mergeCell ref="AN35:AW35"/>
    <mergeCell ref="AN36:AW36"/>
    <mergeCell ref="AN37:AW37"/>
    <mergeCell ref="AN28:AW28"/>
    <mergeCell ref="AN29:AW29"/>
    <mergeCell ref="AN30:AW30"/>
    <mergeCell ref="BB31:BK31"/>
    <mergeCell ref="BB32:BK32"/>
    <mergeCell ref="BB23:BK23"/>
    <mergeCell ref="BB24:BK24"/>
    <mergeCell ref="BB25:BK25"/>
    <mergeCell ref="BB26:BK26"/>
    <mergeCell ref="BB27:BK27"/>
    <mergeCell ref="BB18:BK18"/>
    <mergeCell ref="BB19:BK19"/>
    <mergeCell ref="BB20:BK20"/>
    <mergeCell ref="BB21:BK21"/>
    <mergeCell ref="BB22:BK22"/>
    <mergeCell ref="BB38:BK38"/>
    <mergeCell ref="BB39:BK39"/>
    <mergeCell ref="BB40:BK40"/>
    <mergeCell ref="BM6:BY6"/>
    <mergeCell ref="BM7:BY7"/>
    <mergeCell ref="BM8:BM9"/>
    <mergeCell ref="BO8:BO9"/>
    <mergeCell ref="BP8:BY9"/>
    <mergeCell ref="BP10:BY10"/>
    <mergeCell ref="BP11:BY11"/>
    <mergeCell ref="BP12:BY12"/>
    <mergeCell ref="BP13:BY13"/>
    <mergeCell ref="BP14:BY14"/>
    <mergeCell ref="BP15:BY15"/>
    <mergeCell ref="BP16:BY16"/>
    <mergeCell ref="BP17:BY17"/>
    <mergeCell ref="BB33:BK33"/>
    <mergeCell ref="BB34:BK34"/>
    <mergeCell ref="BB35:BK35"/>
    <mergeCell ref="BB36:BK36"/>
    <mergeCell ref="BB37:BK37"/>
    <mergeCell ref="BB28:BK28"/>
    <mergeCell ref="BB29:BK29"/>
    <mergeCell ref="BB30:BK30"/>
    <mergeCell ref="BP31:BY31"/>
    <mergeCell ref="BP32:BY32"/>
    <mergeCell ref="BP23:BY23"/>
    <mergeCell ref="BP24:BY24"/>
    <mergeCell ref="BP25:BY25"/>
    <mergeCell ref="BP26:BY26"/>
    <mergeCell ref="BP27:BY27"/>
    <mergeCell ref="BP18:BY18"/>
    <mergeCell ref="BP19:BY19"/>
    <mergeCell ref="BP20:BY20"/>
    <mergeCell ref="BP21:BY21"/>
    <mergeCell ref="BP22:BY22"/>
    <mergeCell ref="BP38:BY38"/>
    <mergeCell ref="BP39:BY39"/>
    <mergeCell ref="BP40:BY40"/>
    <mergeCell ref="CA6:CM6"/>
    <mergeCell ref="CA7:CM7"/>
    <mergeCell ref="CA8:CA9"/>
    <mergeCell ref="CC8:CC9"/>
    <mergeCell ref="CD8:CM9"/>
    <mergeCell ref="CD10:CM10"/>
    <mergeCell ref="CD11:CM11"/>
    <mergeCell ref="CD12:CM12"/>
    <mergeCell ref="CD13:CM13"/>
    <mergeCell ref="CD14:CM14"/>
    <mergeCell ref="CD15:CM15"/>
    <mergeCell ref="CD16:CM16"/>
    <mergeCell ref="CD17:CM17"/>
    <mergeCell ref="BP33:BY33"/>
    <mergeCell ref="BP34:BY34"/>
    <mergeCell ref="BP35:BY35"/>
    <mergeCell ref="BP36:BY36"/>
    <mergeCell ref="BP37:BY37"/>
    <mergeCell ref="BP28:BY28"/>
    <mergeCell ref="BP29:BY29"/>
    <mergeCell ref="BP30:BY30"/>
    <mergeCell ref="CD31:CM31"/>
    <mergeCell ref="CD32:CM32"/>
    <mergeCell ref="CD23:CM23"/>
    <mergeCell ref="CD24:CM24"/>
    <mergeCell ref="CD25:CM25"/>
    <mergeCell ref="CD26:CM26"/>
    <mergeCell ref="CD27:CM27"/>
    <mergeCell ref="CD18:CM18"/>
    <mergeCell ref="CD19:CM19"/>
    <mergeCell ref="CD20:CM20"/>
    <mergeCell ref="CD21:CM21"/>
    <mergeCell ref="CD22:CM22"/>
    <mergeCell ref="CD38:CM38"/>
    <mergeCell ref="CD39:CM39"/>
    <mergeCell ref="CD40:CM40"/>
    <mergeCell ref="CO6:DA6"/>
    <mergeCell ref="DC6:DO6"/>
    <mergeCell ref="CO8:CO9"/>
    <mergeCell ref="CQ8:CQ9"/>
    <mergeCell ref="CR8:DA9"/>
    <mergeCell ref="DC8:DC9"/>
    <mergeCell ref="DE8:DE9"/>
    <mergeCell ref="DF8:DO9"/>
    <mergeCell ref="CR11:DA11"/>
    <mergeCell ref="DF11:DO11"/>
    <mergeCell ref="CR13:DA13"/>
    <mergeCell ref="DF13:DO13"/>
    <mergeCell ref="CR15:DA15"/>
    <mergeCell ref="CD33:CM33"/>
    <mergeCell ref="CD34:CM34"/>
    <mergeCell ref="CD35:CM35"/>
    <mergeCell ref="CD36:CM36"/>
    <mergeCell ref="CD37:CM37"/>
    <mergeCell ref="CD28:CM28"/>
    <mergeCell ref="CD29:CM29"/>
    <mergeCell ref="CD30:CM30"/>
    <mergeCell ref="DQ6:EC6"/>
    <mergeCell ref="EE6:EQ6"/>
    <mergeCell ref="ES6:FE6"/>
    <mergeCell ref="FG6:FS6"/>
    <mergeCell ref="CO7:DA7"/>
    <mergeCell ref="DC7:DO7"/>
    <mergeCell ref="DQ7:EC7"/>
    <mergeCell ref="EE7:EQ7"/>
    <mergeCell ref="ES7:FE7"/>
    <mergeCell ref="FG7:FS7"/>
    <mergeCell ref="FI8:FI9"/>
    <mergeCell ref="FJ8:FS9"/>
    <mergeCell ref="CR10:DA10"/>
    <mergeCell ref="DF10:DO10"/>
    <mergeCell ref="DT10:EC10"/>
    <mergeCell ref="EH10:EQ10"/>
    <mergeCell ref="EV10:FE10"/>
    <mergeCell ref="FJ10:FS10"/>
    <mergeCell ref="EH8:EQ9"/>
    <mergeCell ref="ES8:ES9"/>
    <mergeCell ref="EU8:EU9"/>
    <mergeCell ref="EV8:FE9"/>
    <mergeCell ref="FG8:FG9"/>
    <mergeCell ref="DQ8:DQ9"/>
    <mergeCell ref="DS8:DS9"/>
    <mergeCell ref="DT8:EC9"/>
    <mergeCell ref="EE8:EE9"/>
    <mergeCell ref="EG8:EG9"/>
    <mergeCell ref="CR14:DA14"/>
    <mergeCell ref="DF14:DO14"/>
    <mergeCell ref="DT14:EC14"/>
    <mergeCell ref="EH14:EQ14"/>
    <mergeCell ref="EV14:FE14"/>
    <mergeCell ref="FJ14:FS14"/>
    <mergeCell ref="DT11:EC11"/>
    <mergeCell ref="EH11:EQ11"/>
    <mergeCell ref="EV11:FE11"/>
    <mergeCell ref="FJ11:FS11"/>
    <mergeCell ref="CR12:DA12"/>
    <mergeCell ref="DF12:DO12"/>
    <mergeCell ref="DT12:EC12"/>
    <mergeCell ref="EH12:EQ12"/>
    <mergeCell ref="EV12:FE12"/>
    <mergeCell ref="FJ12:FS12"/>
    <mergeCell ref="DF15:DO15"/>
    <mergeCell ref="DT15:EC15"/>
    <mergeCell ref="EH15:EQ15"/>
    <mergeCell ref="EV15:FE15"/>
    <mergeCell ref="FJ15:FS15"/>
    <mergeCell ref="DT13:EC13"/>
    <mergeCell ref="EH13:EQ13"/>
    <mergeCell ref="EV13:FE13"/>
    <mergeCell ref="FJ13:FS13"/>
    <mergeCell ref="FJ16:FS16"/>
    <mergeCell ref="CR17:DA17"/>
    <mergeCell ref="DF17:DO17"/>
    <mergeCell ref="DT17:EC17"/>
    <mergeCell ref="EH17:EQ17"/>
    <mergeCell ref="EV17:FE17"/>
    <mergeCell ref="FJ17:FS17"/>
    <mergeCell ref="CR16:DA16"/>
    <mergeCell ref="DF16:DO16"/>
    <mergeCell ref="DT16:EC16"/>
    <mergeCell ref="EH16:EQ16"/>
    <mergeCell ref="EV16:FE16"/>
    <mergeCell ref="FJ18:FS18"/>
    <mergeCell ref="CR19:DA19"/>
    <mergeCell ref="DF19:DO19"/>
    <mergeCell ref="DT19:EC19"/>
    <mergeCell ref="EH19:EQ19"/>
    <mergeCell ref="EV19:FE19"/>
    <mergeCell ref="FJ19:FS19"/>
    <mergeCell ref="CR18:DA18"/>
    <mergeCell ref="DF18:DO18"/>
    <mergeCell ref="DT18:EC18"/>
    <mergeCell ref="EH18:EQ18"/>
    <mergeCell ref="EV18:FE18"/>
    <mergeCell ref="FJ20:FS20"/>
    <mergeCell ref="CR21:DA21"/>
    <mergeCell ref="DF21:DO21"/>
    <mergeCell ref="DT21:EC21"/>
    <mergeCell ref="EH21:EQ21"/>
    <mergeCell ref="EV21:FE21"/>
    <mergeCell ref="FJ21:FS21"/>
    <mergeCell ref="CR20:DA20"/>
    <mergeCell ref="DF20:DO20"/>
    <mergeCell ref="DT20:EC20"/>
    <mergeCell ref="EH20:EQ20"/>
    <mergeCell ref="EV20:FE20"/>
    <mergeCell ref="FJ22:FS22"/>
    <mergeCell ref="CR23:DA23"/>
    <mergeCell ref="DF23:DO23"/>
    <mergeCell ref="DT23:EC23"/>
    <mergeCell ref="EH23:EQ23"/>
    <mergeCell ref="EV23:FE23"/>
    <mergeCell ref="FJ23:FS23"/>
    <mergeCell ref="CR22:DA22"/>
    <mergeCell ref="DF22:DO22"/>
    <mergeCell ref="DT22:EC22"/>
    <mergeCell ref="EH22:EQ22"/>
    <mergeCell ref="EV22:FE22"/>
    <mergeCell ref="FJ24:FS24"/>
    <mergeCell ref="CR25:DA25"/>
    <mergeCell ref="DF25:DO25"/>
    <mergeCell ref="DT25:EC25"/>
    <mergeCell ref="EH25:EQ25"/>
    <mergeCell ref="EV25:FE25"/>
    <mergeCell ref="FJ25:FS25"/>
    <mergeCell ref="CR24:DA24"/>
    <mergeCell ref="DF24:DO24"/>
    <mergeCell ref="DT24:EC24"/>
    <mergeCell ref="EH24:EQ24"/>
    <mergeCell ref="EV24:FE24"/>
    <mergeCell ref="FJ26:FS26"/>
    <mergeCell ref="CR27:DA27"/>
    <mergeCell ref="DF27:DO27"/>
    <mergeCell ref="DT27:EC27"/>
    <mergeCell ref="EH27:EQ27"/>
    <mergeCell ref="EV27:FE27"/>
    <mergeCell ref="FJ27:FS27"/>
    <mergeCell ref="CR26:DA26"/>
    <mergeCell ref="DF26:DO26"/>
    <mergeCell ref="DT26:EC26"/>
    <mergeCell ref="EH26:EQ26"/>
    <mergeCell ref="EV26:FE26"/>
    <mergeCell ref="FJ28:FS28"/>
    <mergeCell ref="CR29:DA29"/>
    <mergeCell ref="DF29:DO29"/>
    <mergeCell ref="DT29:EC29"/>
    <mergeCell ref="EH29:EQ29"/>
    <mergeCell ref="EV29:FE29"/>
    <mergeCell ref="FJ29:FS29"/>
    <mergeCell ref="CR28:DA28"/>
    <mergeCell ref="DF28:DO28"/>
    <mergeCell ref="DT28:EC28"/>
    <mergeCell ref="EH28:EQ28"/>
    <mergeCell ref="EV28:FE28"/>
    <mergeCell ref="FJ30:FS30"/>
    <mergeCell ref="CR31:DA31"/>
    <mergeCell ref="DF31:DO31"/>
    <mergeCell ref="DT31:EC31"/>
    <mergeCell ref="EH31:EQ31"/>
    <mergeCell ref="EV31:FE31"/>
    <mergeCell ref="FJ31:FS31"/>
    <mergeCell ref="CR30:DA30"/>
    <mergeCell ref="DF30:DO30"/>
    <mergeCell ref="DT30:EC30"/>
    <mergeCell ref="EH30:EQ30"/>
    <mergeCell ref="EV30:FE30"/>
    <mergeCell ref="FJ32:FS32"/>
    <mergeCell ref="CR33:DA33"/>
    <mergeCell ref="DF33:DO33"/>
    <mergeCell ref="DT33:EC33"/>
    <mergeCell ref="EH33:EQ33"/>
    <mergeCell ref="EV33:FE33"/>
    <mergeCell ref="FJ33:FS33"/>
    <mergeCell ref="CR32:DA32"/>
    <mergeCell ref="DF32:DO32"/>
    <mergeCell ref="DT32:EC32"/>
    <mergeCell ref="EH32:EQ32"/>
    <mergeCell ref="EV32:FE32"/>
    <mergeCell ref="FJ34:FS34"/>
    <mergeCell ref="CR35:DA35"/>
    <mergeCell ref="DF35:DO35"/>
    <mergeCell ref="DT35:EC35"/>
    <mergeCell ref="EH35:EQ35"/>
    <mergeCell ref="EV35:FE35"/>
    <mergeCell ref="FJ35:FS35"/>
    <mergeCell ref="CR34:DA34"/>
    <mergeCell ref="DF34:DO34"/>
    <mergeCell ref="DT34:EC34"/>
    <mergeCell ref="EH34:EQ34"/>
    <mergeCell ref="EV34:FE34"/>
    <mergeCell ref="FJ36:FS36"/>
    <mergeCell ref="CR37:DA37"/>
    <mergeCell ref="DF37:DO37"/>
    <mergeCell ref="DT37:EC37"/>
    <mergeCell ref="EH37:EQ37"/>
    <mergeCell ref="EV37:FE37"/>
    <mergeCell ref="FJ37:FS37"/>
    <mergeCell ref="CR36:DA36"/>
    <mergeCell ref="DF36:DO36"/>
    <mergeCell ref="DT36:EC36"/>
    <mergeCell ref="EH36:EQ36"/>
    <mergeCell ref="EV36:FE36"/>
    <mergeCell ref="FJ40:FS40"/>
    <mergeCell ref="CR40:DA40"/>
    <mergeCell ref="DF40:DO40"/>
    <mergeCell ref="DT40:EC40"/>
    <mergeCell ref="EH40:EQ40"/>
    <mergeCell ref="EV40:FE40"/>
    <mergeCell ref="FJ38:FS38"/>
    <mergeCell ref="CR39:DA39"/>
    <mergeCell ref="DF39:DO39"/>
    <mergeCell ref="DT39:EC39"/>
    <mergeCell ref="EH39:EQ39"/>
    <mergeCell ref="EV39:FE39"/>
    <mergeCell ref="FJ39:FS39"/>
    <mergeCell ref="CR38:DA38"/>
    <mergeCell ref="DF38:DO38"/>
    <mergeCell ref="DT38:EC38"/>
    <mergeCell ref="EH38:EQ38"/>
    <mergeCell ref="EV38:FE38"/>
  </mergeCells>
  <conditionalFormatting sqref="I10:U40">
    <cfRule type="cellIs" dxfId="183" priority="48" operator="equal">
      <formula>0</formula>
    </cfRule>
  </conditionalFormatting>
  <conditionalFormatting sqref="W10:Y40">
    <cfRule type="cellIs" dxfId="182" priority="44" operator="equal">
      <formula>0</formula>
    </cfRule>
  </conditionalFormatting>
  <conditionalFormatting sqref="AY10:BK40">
    <cfRule type="cellIs" dxfId="181" priority="39" operator="equal">
      <formula>0</formula>
    </cfRule>
  </conditionalFormatting>
  <conditionalFormatting sqref="BM10:BY40">
    <cfRule type="cellIs" dxfId="180" priority="38" operator="equal">
      <formula>0</formula>
    </cfRule>
  </conditionalFormatting>
  <conditionalFormatting sqref="CA10:CM40">
    <cfRule type="cellIs" dxfId="179" priority="37" operator="equal">
      <formula>0</formula>
    </cfRule>
  </conditionalFormatting>
  <conditionalFormatting sqref="I11:U40">
    <cfRule type="expression" dxfId="178" priority="36">
      <formula>$I10=0</formula>
    </cfRule>
  </conditionalFormatting>
  <conditionalFormatting sqref="W11:AI40">
    <cfRule type="expression" dxfId="177" priority="35">
      <formula>$W10=0</formula>
    </cfRule>
  </conditionalFormatting>
  <conditionalFormatting sqref="AY11:BK40">
    <cfRule type="expression" dxfId="176" priority="33">
      <formula>$AY10=0</formula>
    </cfRule>
  </conditionalFormatting>
  <conditionalFormatting sqref="BM11:BY40">
    <cfRule type="expression" dxfId="175" priority="32">
      <formula>$BM10=0</formula>
    </cfRule>
  </conditionalFormatting>
  <conditionalFormatting sqref="CA11:CM40">
    <cfRule type="expression" dxfId="174" priority="31">
      <formula>$CA10=0</formula>
    </cfRule>
  </conditionalFormatting>
  <conditionalFormatting sqref="AK10:AK40">
    <cfRule type="cellIs" dxfId="173" priority="14" operator="equal">
      <formula>0</formula>
    </cfRule>
  </conditionalFormatting>
  <conditionalFormatting sqref="AK11:AW40">
    <cfRule type="expression" dxfId="172" priority="13">
      <formula>$AK10=0</formula>
    </cfRule>
  </conditionalFormatting>
  <conditionalFormatting sqref="CO10:DA40">
    <cfRule type="cellIs" dxfId="171" priority="12" operator="equal">
      <formula>0</formula>
    </cfRule>
  </conditionalFormatting>
  <conditionalFormatting sqref="DC10:DE40">
    <cfRule type="cellIs" dxfId="170" priority="11" operator="equal">
      <formula>0</formula>
    </cfRule>
  </conditionalFormatting>
  <conditionalFormatting sqref="EE10:EQ40">
    <cfRule type="cellIs" dxfId="169" priority="10" operator="equal">
      <formula>0</formula>
    </cfRule>
  </conditionalFormatting>
  <conditionalFormatting sqref="ES10:FE40">
    <cfRule type="cellIs" dxfId="168" priority="9" operator="equal">
      <formula>0</formula>
    </cfRule>
  </conditionalFormatting>
  <conditionalFormatting sqref="FG10:FS40">
    <cfRule type="cellIs" dxfId="167" priority="8" operator="equal">
      <formula>0</formula>
    </cfRule>
  </conditionalFormatting>
  <conditionalFormatting sqref="CO11:DA40">
    <cfRule type="expression" dxfId="166" priority="7">
      <formula>$CO10=0</formula>
    </cfRule>
  </conditionalFormatting>
  <conditionalFormatting sqref="DC11:DO40">
    <cfRule type="expression" dxfId="165" priority="6">
      <formula>$DC10=0</formula>
    </cfRule>
  </conditionalFormatting>
  <conditionalFormatting sqref="EE11:EQ40">
    <cfRule type="expression" dxfId="164" priority="5">
      <formula>$EE10=0</formula>
    </cfRule>
  </conditionalFormatting>
  <conditionalFormatting sqref="ES11:FE40">
    <cfRule type="expression" dxfId="163" priority="4">
      <formula>$ES10=0</formula>
    </cfRule>
  </conditionalFormatting>
  <conditionalFormatting sqref="FG11:FS40">
    <cfRule type="expression" dxfId="162" priority="3">
      <formula>$FG10=0</formula>
    </cfRule>
  </conditionalFormatting>
  <conditionalFormatting sqref="DQ10:DQ40">
    <cfRule type="cellIs" dxfId="161" priority="2" operator="equal">
      <formula>0</formula>
    </cfRule>
  </conditionalFormatting>
  <conditionalFormatting sqref="DQ11:EC40">
    <cfRule type="expression" dxfId="160" priority="1">
      <formula>$DQ10=0</formula>
    </cfRule>
  </conditionalFormatting>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rgb="FF7030A0"/>
  </sheetPr>
  <dimension ref="A1:LA76"/>
  <sheetViews>
    <sheetView view="pageBreakPreview" topLeftCell="M9" zoomScaleNormal="100" zoomScaleSheetLayoutView="100" workbookViewId="0">
      <pane xSplit="1" ySplit="5" topLeftCell="N14" activePane="bottomRight" state="frozen"/>
      <selection activeCell="M9" sqref="M9"/>
      <selection pane="topRight" activeCell="N9" sqref="N9"/>
      <selection pane="bottomLeft" activeCell="M14" sqref="M14"/>
      <selection pane="bottomRight" activeCell="AA17" sqref="AA17"/>
    </sheetView>
  </sheetViews>
  <sheetFormatPr defaultRowHeight="15" x14ac:dyDescent="0.25"/>
  <cols>
    <col min="1" max="1" width="4.7109375" style="3" hidden="1" customWidth="1"/>
    <col min="2" max="2" width="14.28515625" style="3" hidden="1" customWidth="1"/>
    <col min="3" max="12" width="12.7109375" style="3" hidden="1" customWidth="1"/>
    <col min="13" max="13" width="2.7109375" style="3" customWidth="1"/>
    <col min="14" max="14" width="14.28515625" style="3" customWidth="1"/>
    <col min="15" max="15" width="6" style="3" customWidth="1"/>
    <col min="16" max="16" width="13" style="3" customWidth="1"/>
    <col min="17" max="17" width="6" style="3" customWidth="1"/>
    <col min="18" max="18" width="14.140625" style="3" customWidth="1"/>
    <col min="19" max="26" width="5.7109375" style="3" customWidth="1"/>
    <col min="27" max="27" width="17.85546875" style="3" customWidth="1"/>
    <col min="28" max="37" width="6.7109375" style="3" customWidth="1"/>
    <col min="38" max="38" width="2.7109375" style="3" customWidth="1"/>
    <col min="39" max="39" width="14.28515625" style="3" customWidth="1"/>
    <col min="40" max="40" width="6" style="3" customWidth="1"/>
    <col min="41" max="41" width="13" style="3" customWidth="1"/>
    <col min="42" max="42" width="6" style="3" customWidth="1"/>
    <col min="43" max="43" width="14.140625" style="3" customWidth="1"/>
    <col min="44" max="51" width="5.7109375" style="3" customWidth="1"/>
    <col min="52" max="52" width="17.85546875" style="3" customWidth="1"/>
    <col min="53" max="62" width="6.7109375" style="3" customWidth="1"/>
    <col min="63" max="63" width="2.7109375" style="3" customWidth="1"/>
    <col min="64" max="64" width="14.28515625" style="3" customWidth="1"/>
    <col min="65" max="65" width="6" style="3" customWidth="1"/>
    <col min="66" max="66" width="13" style="3" customWidth="1"/>
    <col min="67" max="67" width="6" style="3" customWidth="1"/>
    <col min="68" max="68" width="14.140625" style="3" customWidth="1"/>
    <col min="69" max="76" width="5.7109375" style="3" customWidth="1"/>
    <col min="77" max="77" width="17.85546875" style="3" customWidth="1"/>
    <col min="78" max="87" width="6.7109375" style="3" customWidth="1"/>
    <col min="88" max="88" width="2.7109375" style="3" customWidth="1"/>
    <col min="89" max="89" width="14.28515625" style="3" customWidth="1"/>
    <col min="90" max="90" width="6" style="3" customWidth="1"/>
    <col min="91" max="91" width="13" style="3" customWidth="1"/>
    <col min="92" max="92" width="6" style="3" customWidth="1"/>
    <col min="93" max="93" width="14.140625" style="3" customWidth="1"/>
    <col min="94" max="101" width="5.7109375" style="3" customWidth="1"/>
    <col min="102" max="102" width="17.85546875" style="3" customWidth="1"/>
    <col min="103" max="112" width="6.7109375" style="3" customWidth="1"/>
    <col min="113" max="113" width="2.7109375" style="3" customWidth="1"/>
    <col min="114" max="114" width="14.28515625" style="3" customWidth="1"/>
    <col min="115" max="115" width="6" style="3" customWidth="1"/>
    <col min="116" max="116" width="13" style="3" customWidth="1"/>
    <col min="117" max="117" width="6" style="3" customWidth="1"/>
    <col min="118" max="118" width="14.140625" style="3" customWidth="1"/>
    <col min="119" max="126" width="5.7109375" style="3" customWidth="1"/>
    <col min="127" max="127" width="17.85546875" style="3" customWidth="1"/>
    <col min="128" max="137" width="6.7109375" style="3" customWidth="1"/>
    <col min="138" max="138" width="2.7109375" style="3" customWidth="1"/>
    <col min="139" max="139" width="14.28515625" style="3" customWidth="1"/>
    <col min="140" max="140" width="6" style="3" customWidth="1"/>
    <col min="141" max="141" width="13" style="3" customWidth="1"/>
    <col min="142" max="142" width="6" style="3" customWidth="1"/>
    <col min="143" max="143" width="14.140625" style="3" customWidth="1"/>
    <col min="144" max="151" width="5.7109375" style="3" customWidth="1"/>
    <col min="152" max="152" width="17.85546875" style="3" customWidth="1"/>
    <col min="153" max="162" width="6.7109375" style="3" customWidth="1"/>
    <col min="163" max="163" width="2.7109375" style="3" customWidth="1"/>
    <col min="164" max="164" width="14.28515625" style="3" customWidth="1"/>
    <col min="165" max="165" width="6" style="3" customWidth="1"/>
    <col min="166" max="166" width="13" style="3" customWidth="1"/>
    <col min="167" max="167" width="6" style="3" customWidth="1"/>
    <col min="168" max="168" width="14.140625" style="3" customWidth="1"/>
    <col min="169" max="176" width="5.7109375" style="3" customWidth="1"/>
    <col min="177" max="177" width="17.85546875" style="3" customWidth="1"/>
    <col min="178" max="187" width="6.7109375" style="3" customWidth="1"/>
    <col min="188" max="188" width="2.7109375" style="3" customWidth="1"/>
    <col min="189" max="189" width="14.28515625" style="3" customWidth="1"/>
    <col min="190" max="190" width="6" style="3" customWidth="1"/>
    <col min="191" max="191" width="13" style="3" customWidth="1"/>
    <col min="192" max="192" width="6" style="3" customWidth="1"/>
    <col min="193" max="193" width="14.140625" style="3" customWidth="1"/>
    <col min="194" max="201" width="5.7109375" style="3" customWidth="1"/>
    <col min="202" max="202" width="17.85546875" style="3" customWidth="1"/>
    <col min="203" max="212" width="6.7109375" style="3" customWidth="1"/>
    <col min="213" max="213" width="2.7109375" style="3" customWidth="1"/>
    <col min="214" max="214" width="14.28515625" style="3" customWidth="1"/>
    <col min="215" max="215" width="6" style="3" customWidth="1"/>
    <col min="216" max="216" width="13" style="3" customWidth="1"/>
    <col min="217" max="217" width="6" style="3" customWidth="1"/>
    <col min="218" max="218" width="14.140625" style="3" customWidth="1"/>
    <col min="219" max="226" width="5.7109375" style="3" customWidth="1"/>
    <col min="227" max="227" width="17.85546875" style="3" customWidth="1"/>
    <col min="228" max="237" width="6.7109375" style="3" customWidth="1"/>
    <col min="238" max="238" width="2.7109375" style="3" customWidth="1"/>
    <col min="239" max="239" width="14.28515625" style="3" customWidth="1"/>
    <col min="240" max="240" width="6" style="3" customWidth="1"/>
    <col min="241" max="241" width="13" style="3" customWidth="1"/>
    <col min="242" max="242" width="6" style="3" customWidth="1"/>
    <col min="243" max="243" width="14.140625" style="3" customWidth="1"/>
    <col min="244" max="251" width="5.7109375" style="3" customWidth="1"/>
    <col min="252" max="252" width="17.85546875" style="3" customWidth="1"/>
    <col min="253" max="262" width="6.7109375" style="3" customWidth="1"/>
    <col min="263" max="263" width="2.7109375" style="3" customWidth="1"/>
    <col min="264" max="264" width="14.28515625" style="3" customWidth="1"/>
    <col min="265" max="265" width="6" style="3" customWidth="1"/>
    <col min="266" max="266" width="13" style="3" customWidth="1"/>
    <col min="267" max="267" width="6" style="3" customWidth="1"/>
    <col min="268" max="268" width="14.140625" style="3" customWidth="1"/>
    <col min="269" max="276" width="5.7109375" style="3" customWidth="1"/>
    <col min="277" max="277" width="17.85546875" style="3" customWidth="1"/>
    <col min="278" max="287" width="6.7109375" style="3" customWidth="1"/>
    <col min="288" max="288" width="2.42578125" style="3" customWidth="1"/>
    <col min="289" max="289" width="14.28515625" style="3" customWidth="1"/>
    <col min="290" max="290" width="6" style="3" customWidth="1"/>
    <col min="291" max="291" width="13" style="3" customWidth="1"/>
    <col min="292" max="292" width="6" style="3" customWidth="1"/>
    <col min="293" max="293" width="14.140625" style="3" customWidth="1"/>
    <col min="294" max="301" width="5.7109375" style="3" customWidth="1"/>
    <col min="302" max="302" width="17.85546875" style="3" customWidth="1"/>
    <col min="303" max="312" width="6.7109375" style="3" customWidth="1"/>
    <col min="313" max="313" width="2.7109375" style="3" customWidth="1"/>
    <col min="314" max="16384" width="9.140625" style="3"/>
  </cols>
  <sheetData>
    <row r="1" spans="1:313" hidden="1" x14ac:dyDescent="0.25">
      <c r="A1" s="52">
        <f ca="1">TODAY()</f>
        <v>43856</v>
      </c>
      <c r="B1" s="52">
        <v>36526</v>
      </c>
      <c r="M1" s="3">
        <f ca="1">IF(U9&gt;=$B$1,(IF($A$1&gt;=U9,1,0)),0)</f>
        <v>1</v>
      </c>
      <c r="N1" s="3">
        <f ca="1">IF(U9&gt;=$B$1,(IF($A$1&gt;=U9,1,0)),0)</f>
        <v>1</v>
      </c>
      <c r="O1" s="3">
        <f ca="1">IF(U9&gt;=$B$1,(IF($A$1&gt;=U9,1,0)),0)</f>
        <v>1</v>
      </c>
      <c r="P1" s="3">
        <f ca="1">IF(U9&gt;=$B$1,(IF($A$1&gt;=U9,1,0)),0)</f>
        <v>1</v>
      </c>
      <c r="Q1" s="3">
        <f ca="1">IF(U9&gt;=$B$1,(IF($A$1&gt;=U9,1,0)),0)</f>
        <v>1</v>
      </c>
      <c r="R1" s="3">
        <f ca="1">IF(U9&gt;=$B$1,(IF($A$1&gt;=U9,1,0)),0)</f>
        <v>1</v>
      </c>
      <c r="S1" s="3">
        <f ca="1">IF(U9&gt;=$B$1,(IF($A$1&gt;=U9,1,0)),0)</f>
        <v>1</v>
      </c>
      <c r="T1" s="3">
        <f ca="1">IF(U9&gt;=$B$1,(IF($A$1&gt;=U9,1,0)),0)</f>
        <v>1</v>
      </c>
      <c r="U1" s="3">
        <f ca="1">IF(U9&gt;=$B$1,(IF($A$1&gt;=U9,1,0)),0)</f>
        <v>1</v>
      </c>
      <c r="V1" s="3">
        <f ca="1">IF(U9&gt;=$B$1,(IF($A$1&gt;=U9,1,0)),0)</f>
        <v>1</v>
      </c>
      <c r="W1" s="3">
        <f ca="1">IF(U9&gt;=$B$1,(IF($A$1&gt;=U9,1,0)),0)</f>
        <v>1</v>
      </c>
      <c r="X1" s="3">
        <f ca="1">IF(U9&gt;=$B$1,(IF($A$1&gt;=U9,1,0)),0)</f>
        <v>1</v>
      </c>
      <c r="Y1" s="3">
        <f ca="1">IF(U9&gt;=$B$1,(IF($A$1&gt;=U9,1,0)),0)</f>
        <v>1</v>
      </c>
      <c r="Z1" s="3">
        <f ca="1">IF(U9&gt;=$B$1,(IF($A$1&gt;=U9,1,0)),0)</f>
        <v>1</v>
      </c>
      <c r="AA1" s="3">
        <f ca="1">IF(U9&gt;=$B$1,(IF($A$1&gt;=U9,1,0)),0)</f>
        <v>1</v>
      </c>
      <c r="AB1" s="3">
        <f ca="1">IF(U9&gt;=$B$1,(IF($A$1&gt;=U9,1,0)),0)</f>
        <v>1</v>
      </c>
      <c r="AC1" s="3">
        <f ca="1">IF(U9&gt;=$B$1,(IF($A$1&gt;=U9,1,0)),0)</f>
        <v>1</v>
      </c>
      <c r="AD1" s="3">
        <f ca="1">IF(U9&gt;=$B$1,(IF($A$1&gt;=U9,1,0)),0)</f>
        <v>1</v>
      </c>
      <c r="AE1" s="3">
        <f ca="1">IF(U9&gt;=$B$1,(IF($A$1&gt;=U9,1,0)),0)</f>
        <v>1</v>
      </c>
      <c r="AF1" s="3">
        <f ca="1">IF(U9&gt;=$B$1,(IF($A$1&gt;=U9,1,0)),0)</f>
        <v>1</v>
      </c>
      <c r="AG1" s="3">
        <f ca="1">IF(U9&gt;=$B$1,(IF($A$1&gt;=U9,1,0)),0)</f>
        <v>1</v>
      </c>
      <c r="AH1" s="3">
        <f ca="1">IF(U9&gt;=$B$1,(IF($A$1&gt;=U9,1,0)),0)</f>
        <v>1</v>
      </c>
      <c r="AI1" s="3">
        <f ca="1">IF(U9&gt;=$B$1,(IF($A$1&gt;=U9,1,0)),0)</f>
        <v>1</v>
      </c>
      <c r="AJ1" s="3">
        <f ca="1">IF(U9&gt;=$B$1,(IF($A$1&gt;=U9,1,0)),0)</f>
        <v>1</v>
      </c>
      <c r="AK1" s="3">
        <f ca="1">IF(U9&gt;=$B$1,(IF($A$1&gt;=U9,1,0)),0)</f>
        <v>1</v>
      </c>
      <c r="AL1" s="3">
        <f ca="1">IF(U9&gt;=$B$1,(IF($A$1&gt;=U9,1,0)),0)</f>
        <v>1</v>
      </c>
      <c r="AM1" s="3">
        <f ca="1">IF(AT9&gt;=$B$1,(IF($A$1&gt;=AT9,1,0)),0)</f>
        <v>1</v>
      </c>
      <c r="AN1" s="3">
        <f ca="1">IF(AT9&gt;=$B$1,(IF($A$1&gt;=AT9,1,0)),0)</f>
        <v>1</v>
      </c>
      <c r="AO1" s="3">
        <f ca="1">IF(AT9&gt;=$B$1,(IF($A$1&gt;=AT9,1,0)),0)</f>
        <v>1</v>
      </c>
      <c r="AP1" s="3">
        <f ca="1">IF(AT9&gt;=$B$1,(IF($A$1&gt;=AT9,1,0)),0)</f>
        <v>1</v>
      </c>
      <c r="AQ1" s="3">
        <f ca="1">IF(AT9&gt;=$B$1,(IF($A$1&gt;=AT9,1,0)),0)</f>
        <v>1</v>
      </c>
      <c r="AR1" s="3">
        <f ca="1">IF(AT9&gt;=$B$1,(IF($A$1&gt;=AT9,1,0)),0)</f>
        <v>1</v>
      </c>
      <c r="AS1" s="3">
        <f ca="1">IF(AT9&gt;=$B$1,(IF($A$1&gt;=AT9,1,0)),0)</f>
        <v>1</v>
      </c>
      <c r="AT1" s="3">
        <f ca="1">IF(AT9&gt;=$B$1,(IF($A$1&gt;=AT9,1,0)),0)</f>
        <v>1</v>
      </c>
      <c r="AU1" s="3">
        <f ca="1">IF(AT9&gt;=$B$1,(IF($A$1&gt;=AT9,1,0)),0)</f>
        <v>1</v>
      </c>
      <c r="AV1" s="3">
        <f ca="1">IF(AT9&gt;=$B$1,(IF($A$1&gt;=AT9,1,0)),0)</f>
        <v>1</v>
      </c>
      <c r="AW1" s="3">
        <f ca="1">IF(AT9&gt;=$B$1,(IF($A$1&gt;=AT9,1,0)),0)</f>
        <v>1</v>
      </c>
      <c r="AX1" s="3">
        <f ca="1">IF(AT9&gt;=$B$1,(IF($A$1&gt;=AT9,1,0)),0)</f>
        <v>1</v>
      </c>
      <c r="AY1" s="3">
        <f ca="1">IF(AT9&gt;=$B$1,(IF($A$1&gt;=AT9,1,0)),0)</f>
        <v>1</v>
      </c>
      <c r="AZ1" s="3">
        <f ca="1">IF(AT9&gt;=$B$1,(IF($A$1&gt;=AT9,1,0)),0)</f>
        <v>1</v>
      </c>
      <c r="BA1" s="3">
        <f ca="1">IF(AT9&gt;=$B$1,(IF($A$1&gt;=AT9,1,0)),0)</f>
        <v>1</v>
      </c>
      <c r="BB1" s="3">
        <f ca="1">IF(AT9&gt;=$B$1,(IF($A$1&gt;=AT9,1,0)),0)</f>
        <v>1</v>
      </c>
      <c r="BC1" s="3">
        <f ca="1">IF(AT9&gt;=$B$1,(IF($A$1&gt;=AT9,1,0)),0)</f>
        <v>1</v>
      </c>
      <c r="BD1" s="3">
        <f ca="1">IF(AT9&gt;=$B$1,(IF($A$1&gt;=AT9,1,0)),0)</f>
        <v>1</v>
      </c>
      <c r="BE1" s="3">
        <f ca="1">IF(AT9&gt;=$B$1,(IF($A$1&gt;=AT9,1,0)),0)</f>
        <v>1</v>
      </c>
      <c r="BF1" s="3">
        <f ca="1">IF(AT9&gt;=$B$1,(IF($A$1&gt;=AT9,1,0)),0)</f>
        <v>1</v>
      </c>
      <c r="BG1" s="3">
        <f ca="1">IF(AT9&gt;=$B$1,(IF($A$1&gt;=AT9,1,0)),0)</f>
        <v>1</v>
      </c>
      <c r="BH1" s="3">
        <f ca="1">IF(AT9&gt;=$B$1,(IF($A$1&gt;=AT9,1,0)),0)</f>
        <v>1</v>
      </c>
      <c r="BI1" s="3">
        <f ca="1">IF(AT9&gt;=$B$1,(IF($A$1&gt;=AT9,1,0)),0)</f>
        <v>1</v>
      </c>
      <c r="BJ1" s="3">
        <f ca="1">IF(AT9&gt;=$B$1,(IF($A$1&gt;=AT9,1,0)),0)</f>
        <v>1</v>
      </c>
      <c r="BK1" s="3">
        <f ca="1">IF(AT9&gt;=$B$1,(IF($A$1&gt;=AT9,1,0)),0)</f>
        <v>1</v>
      </c>
      <c r="BL1" s="3">
        <f ca="1">IF(BS9&gt;=$B$1,(IF($A$1&gt;=BS9,1,0)),0)</f>
        <v>1</v>
      </c>
      <c r="BM1" s="3">
        <f ca="1">IF(BS9&gt;=$B$1,(IF($A$1&gt;=BS9,1,0)),0)</f>
        <v>1</v>
      </c>
      <c r="BN1" s="3">
        <f ca="1">IF(BS9&gt;=$B$1,(IF($A$1&gt;=BS9,1,0)),0)</f>
        <v>1</v>
      </c>
      <c r="BO1" s="3">
        <f ca="1">IF(BS9&gt;=$B$1,(IF($A$1&gt;=BS9,1,0)),0)</f>
        <v>1</v>
      </c>
      <c r="BP1" s="3">
        <f ca="1">IF(BS9&gt;=$B$1,(IF($A$1&gt;=BS9,1,0)),0)</f>
        <v>1</v>
      </c>
      <c r="BQ1" s="3">
        <f ca="1">IF(BS9&gt;=$B$1,(IF($A$1&gt;=BS9,1,0)),0)</f>
        <v>1</v>
      </c>
      <c r="BR1" s="3">
        <f ca="1">IF(BS9&gt;=$B$1,(IF($A$1&gt;=BS9,1,0)),0)</f>
        <v>1</v>
      </c>
      <c r="BS1" s="3">
        <f ca="1">IF(BS9&gt;=$B$1,(IF($A$1&gt;=BS9,1,0)),0)</f>
        <v>1</v>
      </c>
      <c r="BT1" s="3">
        <f ca="1">IF(BS9&gt;=$B$1,(IF($A$1&gt;=BS9,1,0)),0)</f>
        <v>1</v>
      </c>
      <c r="BU1" s="3">
        <f ca="1">IF(BS9&gt;=$B$1,(IF($A$1&gt;=BS9,1,0)),0)</f>
        <v>1</v>
      </c>
      <c r="BV1" s="3">
        <f ca="1">IF(BS9&gt;=$B$1,(IF($A$1&gt;=BS9,1,0)),0)</f>
        <v>1</v>
      </c>
      <c r="BW1" s="3">
        <f ca="1">IF(BS9&gt;=$B$1,(IF($A$1&gt;=BS9,1,0)),0)</f>
        <v>1</v>
      </c>
      <c r="BX1" s="3">
        <f ca="1">IF(BS9&gt;=$B$1,(IF($A$1&gt;=BS9,1,0)),0)</f>
        <v>1</v>
      </c>
      <c r="BY1" s="3">
        <f ca="1">IF(BS9&gt;=$B$1,(IF($A$1&gt;=BS9,1,0)),0)</f>
        <v>1</v>
      </c>
      <c r="BZ1" s="3">
        <f ca="1">IF(BS9&gt;=$B$1,(IF($A$1&gt;=BS9,1,0)),0)</f>
        <v>1</v>
      </c>
      <c r="CA1" s="3">
        <f ca="1">IF(BS9&gt;=$B$1,(IF($A$1&gt;=BS9,1,0)),0)</f>
        <v>1</v>
      </c>
      <c r="CB1" s="3">
        <f ca="1">IF(BS9&gt;=$B$1,(IF($A$1&gt;=BS9,1,0)),0)</f>
        <v>1</v>
      </c>
      <c r="CC1" s="3">
        <f ca="1">IF(BS9&gt;=$B$1,(IF($A$1&gt;=BS9,1,0)),0)</f>
        <v>1</v>
      </c>
      <c r="CD1" s="3">
        <f ca="1">IF(BS9&gt;=$B$1,(IF($A$1&gt;=BS9,1,0)),0)</f>
        <v>1</v>
      </c>
      <c r="CE1" s="3">
        <f ca="1">IF(BS9&gt;=$B$1,(IF($A$1&gt;=BS9,1,0)),0)</f>
        <v>1</v>
      </c>
      <c r="CF1" s="3">
        <f ca="1">IF(BS9&gt;=$B$1,(IF($A$1&gt;=BS9,1,0)),0)</f>
        <v>1</v>
      </c>
      <c r="CG1" s="3">
        <f ca="1">IF(BS9&gt;=$B$1,(IF($A$1&gt;=BS9,1,0)),0)</f>
        <v>1</v>
      </c>
      <c r="CH1" s="3">
        <f ca="1">IF(BS9&gt;=$B$1,(IF($A$1&gt;=BS9,1,0)),0)</f>
        <v>1</v>
      </c>
      <c r="CI1" s="3">
        <f ca="1">IF(BS9&gt;=$B$1,(IF($A$1&gt;=BS9,1,0)),0)</f>
        <v>1</v>
      </c>
      <c r="CJ1" s="3">
        <f ca="1">IF(BS9&gt;=$B$1,(IF($A$1&gt;=BS9,1,0)),0)</f>
        <v>1</v>
      </c>
      <c r="CK1" s="3">
        <f ca="1">IF(CR9&gt;=$B$1,(IF($A$1&gt;=CR9,1,0)),0)</f>
        <v>1</v>
      </c>
      <c r="CL1" s="3">
        <f ca="1">IF(CR9&gt;=$B$1,(IF($A$1&gt;=CR9,1,0)),0)</f>
        <v>1</v>
      </c>
      <c r="CM1" s="3">
        <f ca="1">IF(CR9&gt;=$B$1,(IF($A$1&gt;=CR9,1,0)),0)</f>
        <v>1</v>
      </c>
      <c r="CN1" s="3">
        <f ca="1">IF(CR9&gt;=$B$1,(IF($A$1&gt;=CR9,1,0)),0)</f>
        <v>1</v>
      </c>
      <c r="CO1" s="3">
        <f ca="1">IF(CR9&gt;=$B$1,(IF($A$1&gt;=CR9,1,0)),0)</f>
        <v>1</v>
      </c>
      <c r="CP1" s="3">
        <f ca="1">IF(CR9&gt;=$B$1,(IF($A$1&gt;=CR9,1,0)),0)</f>
        <v>1</v>
      </c>
      <c r="CQ1" s="3">
        <f ca="1">IF(CR9&gt;=$B$1,(IF($A$1&gt;=CR9,1,0)),0)</f>
        <v>1</v>
      </c>
      <c r="CR1" s="3">
        <f ca="1">IF(CR9&gt;=$B$1,(IF($A$1&gt;=CR9,1,0)),0)</f>
        <v>1</v>
      </c>
      <c r="CS1" s="3">
        <f ca="1">IF(CR9&gt;=$B$1,(IF($A$1&gt;=CR9,1,0)),0)</f>
        <v>1</v>
      </c>
      <c r="CT1" s="3">
        <f ca="1">IF(CR9&gt;=$B$1,(IF($A$1&gt;=CR9,1,0)),0)</f>
        <v>1</v>
      </c>
      <c r="CU1" s="3">
        <f ca="1">IF(CR9&gt;=$B$1,(IF($A$1&gt;=CR9,1,0)),0)</f>
        <v>1</v>
      </c>
      <c r="CV1" s="3">
        <f ca="1">IF(CR9&gt;=$B$1,(IF($A$1&gt;=CR9,1,0)),0)</f>
        <v>1</v>
      </c>
      <c r="CW1" s="3">
        <f ca="1">IF(CR9&gt;=$B$1,(IF($A$1&gt;=CR9,1,0)),0)</f>
        <v>1</v>
      </c>
      <c r="CX1" s="3">
        <f ca="1">IF(CR9&gt;=$B$1,(IF($A$1&gt;=CR9,1,0)),0)</f>
        <v>1</v>
      </c>
      <c r="CY1" s="3">
        <f ca="1">IF(CR9&gt;=$B$1,(IF($A$1&gt;=CR9,1,0)),0)</f>
        <v>1</v>
      </c>
      <c r="CZ1" s="3">
        <f ca="1">IF(CR9&gt;=$B$1,(IF($A$1&gt;=CR9,1,0)),0)</f>
        <v>1</v>
      </c>
      <c r="DA1" s="3">
        <f ca="1">IF(CR9&gt;=$B$1,(IF($A$1&gt;=CR9,1,0)),0)</f>
        <v>1</v>
      </c>
      <c r="DB1" s="3">
        <f ca="1">IF(CR9&gt;=$B$1,(IF($A$1&gt;=CR9,1,0)),0)</f>
        <v>1</v>
      </c>
      <c r="DC1" s="3">
        <f ca="1">IF(CR9&gt;=$B$1,(IF($A$1&gt;=CR9,1,0)),0)</f>
        <v>1</v>
      </c>
      <c r="DD1" s="3">
        <f ca="1">IF(CR9&gt;=$B$1,(IF($A$1&gt;=CR9,1,0)),0)</f>
        <v>1</v>
      </c>
      <c r="DE1" s="3">
        <f ca="1">IF(CR9&gt;=$B$1,(IF($A$1&gt;=CR9,1,0)),0)</f>
        <v>1</v>
      </c>
      <c r="DF1" s="3">
        <f ca="1">IF(CR9&gt;=$B$1,(IF($A$1&gt;=CR9,1,0)),0)</f>
        <v>1</v>
      </c>
      <c r="DG1" s="3">
        <f ca="1">IF(CR9&gt;=$B$1,(IF($A$1&gt;=CR9,1,0)),0)</f>
        <v>1</v>
      </c>
      <c r="DH1" s="3">
        <f ca="1">IF(CR9&gt;=$B$1,(IF($A$1&gt;=CR9,1,0)),0)</f>
        <v>1</v>
      </c>
      <c r="DI1" s="3">
        <f ca="1">IF(CR9&gt;=$B$1,(IF($A$1&gt;=CR9,1,0)),0)</f>
        <v>1</v>
      </c>
      <c r="DJ1" s="3">
        <f ca="1">IF(DQ9&gt;=$B$1,(IF($A$1&gt;=DQ9,1,0)),0)</f>
        <v>1</v>
      </c>
      <c r="DK1" s="3">
        <f ca="1">IF(DQ9&gt;=$B$1,(IF($A$1&gt;=DQ9,1,0)),0)</f>
        <v>1</v>
      </c>
      <c r="DL1" s="3">
        <f ca="1">IF(DQ9&gt;=$B$1,(IF($A$1&gt;=DQ9,1,0)),0)</f>
        <v>1</v>
      </c>
      <c r="DM1" s="3">
        <f ca="1">IF(DQ9&gt;=$B$1,(IF($A$1&gt;=DQ9,1,0)),0)</f>
        <v>1</v>
      </c>
      <c r="DN1" s="3">
        <f ca="1">IF(DQ9&gt;=$B$1,(IF($A$1&gt;=DQ9,1,0)),0)</f>
        <v>1</v>
      </c>
      <c r="DO1" s="3">
        <f ca="1">IF(DQ9&gt;=$B$1,(IF($A$1&gt;=DQ9,1,0)),0)</f>
        <v>1</v>
      </c>
      <c r="DP1" s="3">
        <f ca="1">IF(DQ9&gt;=$B$1,(IF($A$1&gt;=DQ9,1,0)),0)</f>
        <v>1</v>
      </c>
      <c r="DQ1" s="3">
        <f ca="1">IF(DQ9&gt;=$B$1,(IF($A$1&gt;=DQ9,1,0)),0)</f>
        <v>1</v>
      </c>
      <c r="DR1" s="3">
        <f ca="1">IF(DQ9&gt;=$B$1,(IF($A$1&gt;=DQ9,1,0)),0)</f>
        <v>1</v>
      </c>
      <c r="DS1" s="3">
        <f ca="1">IF(DQ9&gt;=$B$1,(IF($A$1&gt;=DQ9,1,0)),0)</f>
        <v>1</v>
      </c>
      <c r="DT1" s="3">
        <f ca="1">IF(DQ9&gt;=$B$1,(IF($A$1&gt;=DQ9,1,0)),0)</f>
        <v>1</v>
      </c>
      <c r="DU1" s="3">
        <f ca="1">IF(DQ9&gt;=$B$1,(IF($A$1&gt;=DQ9,1,0)),0)</f>
        <v>1</v>
      </c>
      <c r="DV1" s="3">
        <f ca="1">IF(DQ9&gt;=$B$1,(IF($A$1&gt;=DQ9,1,0)),0)</f>
        <v>1</v>
      </c>
      <c r="DW1" s="3">
        <f ca="1">IF(DQ9&gt;=$B$1,(IF($A$1&gt;=DQ9,1,0)),0)</f>
        <v>1</v>
      </c>
      <c r="DX1" s="3">
        <f ca="1">IF(DQ9&gt;=$B$1,(IF($A$1&gt;=DQ9,1,0)),0)</f>
        <v>1</v>
      </c>
      <c r="DY1" s="3">
        <f ca="1">IF(DQ9&gt;=$B$1,(IF($A$1&gt;=DQ9,1,0)),0)</f>
        <v>1</v>
      </c>
      <c r="DZ1" s="3">
        <f ca="1">IF(DQ9&gt;=$B$1,(IF($A$1&gt;=DQ9,1,0)),0)</f>
        <v>1</v>
      </c>
      <c r="EA1" s="3">
        <f ca="1">IF(DQ9&gt;=$B$1,(IF($A$1&gt;=DQ9,1,0)),0)</f>
        <v>1</v>
      </c>
      <c r="EB1" s="3">
        <f ca="1">IF(DQ9&gt;=$B$1,(IF($A$1&gt;=DQ9,1,0)),0)</f>
        <v>1</v>
      </c>
      <c r="EC1" s="3">
        <f ca="1">IF(DQ9&gt;=$B$1,(IF($A$1&gt;=DQ9,1,0)),0)</f>
        <v>1</v>
      </c>
      <c r="ED1" s="3">
        <f ca="1">IF(DQ9&gt;=$B$1,(IF($A$1&gt;=DQ9,1,0)),0)</f>
        <v>1</v>
      </c>
      <c r="EE1" s="3">
        <f ca="1">IF(DQ9&gt;=$B$1,(IF($A$1&gt;=DQ9,1,0)),0)</f>
        <v>1</v>
      </c>
      <c r="EF1" s="3">
        <f ca="1">IF(DQ9&gt;=$B$1,(IF($A$1&gt;=DQ9,1,0)),0)</f>
        <v>1</v>
      </c>
      <c r="EG1" s="3">
        <f ca="1">IF(DQ9&gt;=$B$1,(IF($A$1&gt;=DQ9,1,0)),0)</f>
        <v>1</v>
      </c>
      <c r="EH1" s="3">
        <f ca="1">IF(DQ9&gt;=$B$1,(IF($A$1&gt;=DQ9,1,0)),0)</f>
        <v>1</v>
      </c>
      <c r="EI1" s="3">
        <f ca="1">IF(EP9&gt;=$B$1,(IF($A$1&gt;=EP9,1,0)),0)</f>
        <v>1</v>
      </c>
      <c r="EJ1" s="3">
        <f ca="1">IF(EP9&gt;=$B$1,(IF($A$1&gt;=EP9,1,0)),0)</f>
        <v>1</v>
      </c>
      <c r="EK1" s="3">
        <f ca="1">IF(EP9&gt;=$B$1,(IF($A$1&gt;=EP9,1,0)),0)</f>
        <v>1</v>
      </c>
      <c r="EL1" s="3">
        <f ca="1">IF(EP9&gt;=$B$1,(IF($A$1&gt;=EP9,1,0)),0)</f>
        <v>1</v>
      </c>
      <c r="EM1" s="3">
        <f ca="1">IF(EP9&gt;=$B$1,(IF($A$1&gt;=EP9,1,0)),0)</f>
        <v>1</v>
      </c>
      <c r="EN1" s="3">
        <f ca="1">IF(EP9&gt;=$B$1,(IF($A$1&gt;=EP9,1,0)),0)</f>
        <v>1</v>
      </c>
      <c r="EO1" s="3">
        <f ca="1">IF(EP9&gt;=$B$1,(IF($A$1&gt;=EP9,1,0)),0)</f>
        <v>1</v>
      </c>
      <c r="EP1" s="3">
        <f ca="1">IF(EP9&gt;=$B$1,(IF($A$1&gt;=EP9,1,0)),0)</f>
        <v>1</v>
      </c>
      <c r="EQ1" s="3">
        <f ca="1">IF(EP9&gt;=$B$1,(IF($A$1&gt;=EP9,1,0)),0)</f>
        <v>1</v>
      </c>
      <c r="ER1" s="3">
        <f ca="1">IF(EP9&gt;=$B$1,(IF($A$1&gt;=EP9,1,0)),0)</f>
        <v>1</v>
      </c>
      <c r="ES1" s="3">
        <f ca="1">IF(EP9&gt;=$B$1,(IF($A$1&gt;=EP9,1,0)),0)</f>
        <v>1</v>
      </c>
      <c r="ET1" s="3">
        <f ca="1">IF(EP9&gt;=$B$1,(IF($A$1&gt;=EP9,1,0)),0)</f>
        <v>1</v>
      </c>
      <c r="EU1" s="3">
        <f ca="1">IF(EP9&gt;=$B$1,(IF($A$1&gt;=EP9,1,0)),0)</f>
        <v>1</v>
      </c>
      <c r="EV1" s="3">
        <f ca="1">IF(EP9&gt;=$B$1,(IF($A$1&gt;=EP9,1,0)),0)</f>
        <v>1</v>
      </c>
      <c r="EW1" s="3">
        <f ca="1">IF(EP9&gt;=$B$1,(IF($A$1&gt;=EP9,1,0)),0)</f>
        <v>1</v>
      </c>
      <c r="EX1" s="3">
        <f ca="1">IF(EP9&gt;=$B$1,(IF($A$1&gt;=EP9,1,0)),0)</f>
        <v>1</v>
      </c>
      <c r="EY1" s="3">
        <f ca="1">IF(EP9&gt;=$B$1,(IF($A$1&gt;=EP9,1,0)),0)</f>
        <v>1</v>
      </c>
      <c r="EZ1" s="3">
        <f ca="1">IF(EP9&gt;=$B$1,(IF($A$1&gt;=EP9,1,0)),0)</f>
        <v>1</v>
      </c>
      <c r="FA1" s="3">
        <f ca="1">IF(EP9&gt;=$B$1,(IF($A$1&gt;=EP9,1,0)),0)</f>
        <v>1</v>
      </c>
      <c r="FB1" s="3">
        <f ca="1">IF(EP9&gt;=$B$1,(IF($A$1&gt;=EP9,1,0)),0)</f>
        <v>1</v>
      </c>
      <c r="FC1" s="3">
        <f ca="1">IF(EP9&gt;=$B$1,(IF($A$1&gt;=EP9,1,0)),0)</f>
        <v>1</v>
      </c>
      <c r="FD1" s="3">
        <f ca="1">IF(EP9&gt;=$B$1,(IF($A$1&gt;=EP9,1,0)),0)</f>
        <v>1</v>
      </c>
      <c r="FE1" s="3">
        <f ca="1">IF(EP9&gt;=$B$1,(IF($A$1&gt;=EP9,1,0)),0)</f>
        <v>1</v>
      </c>
      <c r="FF1" s="3">
        <f ca="1">IF(EP9&gt;=$B$1,(IF($A$1&gt;=EP9,1,0)),0)</f>
        <v>1</v>
      </c>
      <c r="FG1" s="3">
        <f ca="1">IF(EP9&gt;=$B$1,(IF($A$1&gt;=EP9,1,0)),0)</f>
        <v>1</v>
      </c>
      <c r="FH1" s="3">
        <f ca="1">IF(FO9&gt;=$B$1,(IF($A$1&gt;=FO9,1,0)),0)</f>
        <v>1</v>
      </c>
      <c r="FI1" s="3">
        <f ca="1">IF(FO9&gt;=$B$1,(IF($A$1&gt;=FO9,1,0)),0)</f>
        <v>1</v>
      </c>
      <c r="FJ1" s="3">
        <f ca="1">IF(FO9&gt;=$B$1,(IF($A$1&gt;=FO9,1,0)),0)</f>
        <v>1</v>
      </c>
      <c r="FK1" s="3">
        <f ca="1">IF(FO9&gt;=$B$1,(IF($A$1&gt;=FO9,1,0)),0)</f>
        <v>1</v>
      </c>
      <c r="FL1" s="3">
        <f ca="1">IF(FO9&gt;=$B$1,(IF($A$1&gt;=FO9,1,0)),0)</f>
        <v>1</v>
      </c>
      <c r="FM1" s="3">
        <f ca="1">IF(FO9&gt;=$B$1,(IF($A$1&gt;=FO9,1,0)),0)</f>
        <v>1</v>
      </c>
      <c r="FN1" s="3">
        <f ca="1">IF(FO9&gt;=$B$1,(IF($A$1&gt;=FO9,1,0)),0)</f>
        <v>1</v>
      </c>
      <c r="FO1" s="3">
        <f ca="1">IF(FO9&gt;=$B$1,(IF($A$1&gt;=FO9,1,0)),0)</f>
        <v>1</v>
      </c>
      <c r="FP1" s="3">
        <f ca="1">IF(FO9&gt;=$B$1,(IF($A$1&gt;=FO9,1,0)),0)</f>
        <v>1</v>
      </c>
      <c r="FQ1" s="3">
        <f ca="1">IF(FO9&gt;=$B$1,(IF($A$1&gt;=FO9,1,0)),0)</f>
        <v>1</v>
      </c>
      <c r="FR1" s="3">
        <f ca="1">IF(FO9&gt;=$B$1,(IF($A$1&gt;=FO9,1,0)),0)</f>
        <v>1</v>
      </c>
      <c r="FS1" s="3">
        <f ca="1">IF(FO9&gt;=$B$1,(IF($A$1&gt;=FO9,1,0)),0)</f>
        <v>1</v>
      </c>
      <c r="FT1" s="3">
        <f ca="1">IF(FO9&gt;=$B$1,(IF($A$1&gt;=FO9,1,0)),0)</f>
        <v>1</v>
      </c>
      <c r="FU1" s="3">
        <f ca="1">IF(FO9&gt;=$B$1,(IF($A$1&gt;=FO9,1,0)),0)</f>
        <v>1</v>
      </c>
      <c r="FV1" s="3">
        <f ca="1">IF(FO9&gt;=$B$1,(IF($A$1&gt;=FO9,1,0)),0)</f>
        <v>1</v>
      </c>
      <c r="FW1" s="3">
        <f ca="1">IF(FO9&gt;=$B$1,(IF($A$1&gt;=FO9,1,0)),0)</f>
        <v>1</v>
      </c>
      <c r="FX1" s="3">
        <f ca="1">IF(FO9&gt;=$B$1,(IF($A$1&gt;=FO9,1,0)),0)</f>
        <v>1</v>
      </c>
      <c r="FY1" s="3">
        <f ca="1">IF(FO9&gt;=$B$1,(IF($A$1&gt;=FO9,1,0)),0)</f>
        <v>1</v>
      </c>
      <c r="FZ1" s="3">
        <f ca="1">IF(FO9&gt;=$B$1,(IF($A$1&gt;=FO9,1,0)),0)</f>
        <v>1</v>
      </c>
      <c r="GA1" s="3">
        <f ca="1">IF(FO9&gt;=$B$1,(IF($A$1&gt;=FO9,1,0)),0)</f>
        <v>1</v>
      </c>
      <c r="GB1" s="3">
        <f ca="1">IF(FO9&gt;=$B$1,(IF($A$1&gt;=FO9,1,0)),0)</f>
        <v>1</v>
      </c>
      <c r="GC1" s="3">
        <f ca="1">IF(FO9&gt;=$B$1,(IF($A$1&gt;=FO9,1,0)),0)</f>
        <v>1</v>
      </c>
      <c r="GD1" s="3">
        <f ca="1">IF(FO9&gt;=$B$1,(IF($A$1&gt;=FO9,1,0)),0)</f>
        <v>1</v>
      </c>
      <c r="GE1" s="3">
        <f ca="1">IF(FO9&gt;=$B$1,(IF($A$1&gt;=FO9,1,0)),0)</f>
        <v>1</v>
      </c>
      <c r="GF1" s="3">
        <f ca="1">IF(FO9&gt;=$B$1,(IF($A$1&gt;=FO9,1,0)),0)</f>
        <v>1</v>
      </c>
      <c r="GG1" s="3">
        <f ca="1">IF(GN9&gt;=$B$1,(IF($A$1&gt;=GN9,1,0)),0)</f>
        <v>1</v>
      </c>
      <c r="GH1" s="3">
        <f ca="1">IF(GN9&gt;=$B$1,(IF($A$1&gt;=GN9,1,0)),0)</f>
        <v>1</v>
      </c>
      <c r="GI1" s="3">
        <f ca="1">IF(GN9&gt;=$B$1,(IF($A$1&gt;=GN9,1,0)),0)</f>
        <v>1</v>
      </c>
      <c r="GJ1" s="3">
        <f ca="1">IF(GN9&gt;=$B$1,(IF($A$1&gt;=GN9,1,0)),0)</f>
        <v>1</v>
      </c>
      <c r="GK1" s="3">
        <f ca="1">IF(GN9&gt;=$B$1,(IF($A$1&gt;=GN9,1,0)),0)</f>
        <v>1</v>
      </c>
      <c r="GL1" s="3">
        <f ca="1">IF(GN9&gt;=$B$1,(IF($A$1&gt;=GN9,1,0)),0)</f>
        <v>1</v>
      </c>
      <c r="GM1" s="3">
        <f ca="1">IF(GN9&gt;=$B$1,(IF($A$1&gt;=GN9,1,0)),0)</f>
        <v>1</v>
      </c>
      <c r="GN1" s="3">
        <f ca="1">IF(GN9&gt;=$B$1,(IF($A$1&gt;=GN9,1,0)),0)</f>
        <v>1</v>
      </c>
      <c r="GO1" s="3">
        <f ca="1">IF(GN9&gt;=$B$1,(IF($A$1&gt;=GN9,1,0)),0)</f>
        <v>1</v>
      </c>
      <c r="GP1" s="3">
        <f ca="1">IF(GN9&gt;=$B$1,(IF($A$1&gt;=GN9,1,0)),0)</f>
        <v>1</v>
      </c>
      <c r="GQ1" s="3">
        <f ca="1">IF(GN9&gt;=$B$1,(IF($A$1&gt;=GN9,1,0)),0)</f>
        <v>1</v>
      </c>
      <c r="GR1" s="3">
        <f ca="1">IF(GN9&gt;=$B$1,(IF($A$1&gt;=GN9,1,0)),0)</f>
        <v>1</v>
      </c>
      <c r="GS1" s="3">
        <f ca="1">IF(GN9&gt;=$B$1,(IF($A$1&gt;=GN9,1,0)),0)</f>
        <v>1</v>
      </c>
      <c r="GT1" s="3">
        <f ca="1">IF(GN9&gt;=$B$1,(IF($A$1&gt;=GN9,1,0)),0)</f>
        <v>1</v>
      </c>
      <c r="GU1" s="3">
        <f ca="1">IF(GN9&gt;=$B$1,(IF($A$1&gt;=GN9,1,0)),0)</f>
        <v>1</v>
      </c>
      <c r="GV1" s="3">
        <f ca="1">IF(GN9&gt;=$B$1,(IF($A$1&gt;=GN9,1,0)),0)</f>
        <v>1</v>
      </c>
      <c r="GW1" s="3">
        <f ca="1">IF(GN9&gt;=$B$1,(IF($A$1&gt;=GN9,1,0)),0)</f>
        <v>1</v>
      </c>
      <c r="GX1" s="3">
        <f ca="1">IF(GN9&gt;=$B$1,(IF($A$1&gt;=GN9,1,0)),0)</f>
        <v>1</v>
      </c>
      <c r="GY1" s="3">
        <f ca="1">IF(GN9&gt;=$B$1,(IF($A$1&gt;=GN9,1,0)),0)</f>
        <v>1</v>
      </c>
      <c r="GZ1" s="3">
        <f ca="1">IF(GN9&gt;=$B$1,(IF($A$1&gt;=GN9,1,0)),0)</f>
        <v>1</v>
      </c>
      <c r="HA1" s="3">
        <f ca="1">IF(GN9&gt;=$B$1,(IF($A$1&gt;=GN9,1,0)),0)</f>
        <v>1</v>
      </c>
      <c r="HB1" s="3">
        <f ca="1">IF(GN9&gt;=$B$1,(IF($A$1&gt;=GN9,1,0)),0)</f>
        <v>1</v>
      </c>
      <c r="HC1" s="3">
        <f ca="1">IF(GN9&gt;=$B$1,(IF($A$1&gt;=GN9,1,0)),0)</f>
        <v>1</v>
      </c>
      <c r="HD1" s="3">
        <f ca="1">IF(GN9&gt;=$B$1,(IF($A$1&gt;=GN9,1,0)),0)</f>
        <v>1</v>
      </c>
      <c r="HE1" s="3">
        <f ca="1">IF(GN9&gt;=$B$1,(IF($A$1&gt;=GN9,1,0)),0)</f>
        <v>1</v>
      </c>
      <c r="HF1" s="3">
        <f ca="1">IF(HM9&gt;=$B$1,(IF($A$1&gt;=HM9,1,0)),0)</f>
        <v>1</v>
      </c>
      <c r="HG1" s="3">
        <f ca="1">IF(HM9&gt;=$B$1,(IF($A$1&gt;=HM9,1,0)),0)</f>
        <v>1</v>
      </c>
      <c r="HH1" s="3">
        <f ca="1">IF(HM9&gt;=$B$1,(IF($A$1&gt;=HM9,1,0)),0)</f>
        <v>1</v>
      </c>
      <c r="HI1" s="3">
        <f ca="1">IF(HM9&gt;=$B$1,(IF($A$1&gt;=HM9,1,0)),0)</f>
        <v>1</v>
      </c>
      <c r="HJ1" s="3">
        <f ca="1">IF(HM9&gt;=$B$1,(IF($A$1&gt;=HM9,1,0)),0)</f>
        <v>1</v>
      </c>
      <c r="HK1" s="3">
        <f ca="1">IF(HM9&gt;=$B$1,(IF($A$1&gt;=HM9,1,0)),0)</f>
        <v>1</v>
      </c>
      <c r="HL1" s="3">
        <f ca="1">IF(HM9&gt;=$B$1,(IF($A$1&gt;=HM9,1,0)),0)</f>
        <v>1</v>
      </c>
      <c r="HM1" s="3">
        <f ca="1">IF(HM9&gt;=$B$1,(IF($A$1&gt;=HM9,1,0)),0)</f>
        <v>1</v>
      </c>
      <c r="HN1" s="3">
        <f ca="1">IF(HM9&gt;=$B$1,(IF($A$1&gt;=HM9,1,0)),0)</f>
        <v>1</v>
      </c>
      <c r="HO1" s="3">
        <f ca="1">IF(HM9&gt;=$B$1,(IF($A$1&gt;=HM9,1,0)),0)</f>
        <v>1</v>
      </c>
      <c r="HP1" s="3">
        <f ca="1">IF(HM9&gt;=$B$1,(IF($A$1&gt;=HM9,1,0)),0)</f>
        <v>1</v>
      </c>
      <c r="HQ1" s="3">
        <f ca="1">IF(HM9&gt;=$B$1,(IF($A$1&gt;=HM9,1,0)),0)</f>
        <v>1</v>
      </c>
      <c r="HR1" s="3">
        <f ca="1">IF(HM9&gt;=$B$1,(IF($A$1&gt;=HM9,1,0)),0)</f>
        <v>1</v>
      </c>
      <c r="HS1" s="3">
        <f ca="1">IF(HM9&gt;=$B$1,(IF($A$1&gt;=HM9,1,0)),0)</f>
        <v>1</v>
      </c>
      <c r="HT1" s="3">
        <f ca="1">IF(HM9&gt;=$B$1,(IF($A$1&gt;=HM9,1,0)),0)</f>
        <v>1</v>
      </c>
      <c r="HU1" s="3">
        <f ca="1">IF(HM9&gt;=$B$1,(IF($A$1&gt;=HM9,1,0)),0)</f>
        <v>1</v>
      </c>
      <c r="HV1" s="3">
        <f ca="1">IF(HM9&gt;=$B$1,(IF($A$1&gt;=HM9,1,0)),0)</f>
        <v>1</v>
      </c>
      <c r="HW1" s="3">
        <f ca="1">IF(HM9&gt;=$B$1,(IF($A$1&gt;=HM9,1,0)),0)</f>
        <v>1</v>
      </c>
      <c r="HX1" s="3">
        <f ca="1">IF(HM9&gt;=$B$1,(IF($A$1&gt;=HM9,1,0)),0)</f>
        <v>1</v>
      </c>
      <c r="HY1" s="3">
        <f ca="1">IF(HM9&gt;=$B$1,(IF($A$1&gt;=HM9,1,0)),0)</f>
        <v>1</v>
      </c>
      <c r="HZ1" s="3">
        <f ca="1">IF(HM9&gt;=$B$1,(IF($A$1&gt;=HM9,1,0)),0)</f>
        <v>1</v>
      </c>
      <c r="IA1" s="3">
        <f ca="1">IF(HM9&gt;=$B$1,(IF($A$1&gt;=HM9,1,0)),0)</f>
        <v>1</v>
      </c>
      <c r="IB1" s="3">
        <f ca="1">IF(HM9&gt;=$B$1,(IF($A$1&gt;=HM9,1,0)),0)</f>
        <v>1</v>
      </c>
      <c r="IC1" s="3">
        <f ca="1">IF(HM9&gt;=$B$1,(IF($A$1&gt;=HM9,1,0)),0)</f>
        <v>1</v>
      </c>
      <c r="ID1" s="3">
        <f ca="1">IF(HM9&gt;=$B$1,(IF($A$1&gt;=HM9,1,0)),0)</f>
        <v>1</v>
      </c>
      <c r="IE1" s="3">
        <f ca="1">IF(IL9&gt;=$B$1,(IF($A$1&gt;=IL9,1,0)),0)</f>
        <v>0</v>
      </c>
      <c r="IF1" s="3">
        <f ca="1">IF(IL9&gt;=$B$1,(IF($A$1&gt;=IL9,1,0)),0)</f>
        <v>0</v>
      </c>
      <c r="IG1" s="3">
        <f ca="1">IF(IL9&gt;=$B$1,(IF($A$1&gt;=IL9,1,0)),0)</f>
        <v>0</v>
      </c>
      <c r="IH1" s="3">
        <f ca="1">IF(IL9&gt;=$B$1,(IF($A$1&gt;=IL9,1,0)),0)</f>
        <v>0</v>
      </c>
      <c r="II1" s="3">
        <f ca="1">IF(IL9&gt;=$B$1,(IF($A$1&gt;=IL9,1,0)),0)</f>
        <v>0</v>
      </c>
      <c r="IJ1" s="3">
        <f ca="1">IF(IL9&gt;=$B$1,(IF($A$1&gt;=IL9,1,0)),0)</f>
        <v>0</v>
      </c>
      <c r="IK1" s="3">
        <f ca="1">IF(IL9&gt;=$B$1,(IF($A$1&gt;=IL9,1,0)),0)</f>
        <v>0</v>
      </c>
      <c r="IL1" s="3">
        <f ca="1">IF(IL9&gt;=$B$1,(IF($A$1&gt;=IL9,1,0)),0)</f>
        <v>0</v>
      </c>
      <c r="IM1" s="3">
        <f ca="1">IF(IL9&gt;=$B$1,(IF($A$1&gt;=IL9,1,0)),0)</f>
        <v>0</v>
      </c>
      <c r="IN1" s="3">
        <f ca="1">IF(IL9&gt;=$B$1,(IF($A$1&gt;=IL9,1,0)),0)</f>
        <v>0</v>
      </c>
      <c r="IO1" s="3">
        <f ca="1">IF(IL9&gt;=$B$1,(IF($A$1&gt;=IL9,1,0)),0)</f>
        <v>0</v>
      </c>
      <c r="IP1" s="3">
        <f ca="1">IF(IL9&gt;=$B$1,(IF($A$1&gt;=IL9,1,0)),0)</f>
        <v>0</v>
      </c>
      <c r="IQ1" s="3">
        <f ca="1">IF(IL9&gt;=$B$1,(IF($A$1&gt;=IL9,1,0)),0)</f>
        <v>0</v>
      </c>
      <c r="IR1" s="3">
        <f ca="1">IF(IL9&gt;=$B$1,(IF($A$1&gt;=IL9,1,0)),0)</f>
        <v>0</v>
      </c>
      <c r="IS1" s="3">
        <f ca="1">IF(IL9&gt;=$B$1,(IF($A$1&gt;=IL9,1,0)),0)</f>
        <v>0</v>
      </c>
      <c r="IT1" s="3">
        <f ca="1">IF(IL9&gt;=$B$1,(IF($A$1&gt;=IL9,1,0)),0)</f>
        <v>0</v>
      </c>
      <c r="IU1" s="3">
        <f ca="1">IF(IL9&gt;=$B$1,(IF($A$1&gt;=IL9,1,0)),0)</f>
        <v>0</v>
      </c>
      <c r="IV1" s="3">
        <f ca="1">IF(IL9&gt;=$B$1,(IF($A$1&gt;=IL9,1,0)),0)</f>
        <v>0</v>
      </c>
      <c r="IW1" s="3">
        <f ca="1">IF(IL9&gt;=$B$1,(IF($A$1&gt;=IL9,1,0)),0)</f>
        <v>0</v>
      </c>
      <c r="IX1" s="3">
        <f ca="1">IF(IL9&gt;=$B$1,(IF($A$1&gt;=IL9,1,0)),0)</f>
        <v>0</v>
      </c>
      <c r="IY1" s="3">
        <f ca="1">IF(IL9&gt;=$B$1,(IF($A$1&gt;=IL9,1,0)),0)</f>
        <v>0</v>
      </c>
      <c r="IZ1" s="3">
        <f ca="1">IF(IL9&gt;=$B$1,(IF($A$1&gt;=IL9,1,0)),0)</f>
        <v>0</v>
      </c>
      <c r="JA1" s="3">
        <f ca="1">IF(IL9&gt;=$B$1,(IF($A$1&gt;=IL9,1,0)),0)</f>
        <v>0</v>
      </c>
      <c r="JB1" s="3">
        <f ca="1">IF(IL9&gt;=$B$1,(IF($A$1&gt;=IL9,1,0)),0)</f>
        <v>0</v>
      </c>
      <c r="JC1" s="3">
        <f ca="1">IF(IL9&gt;=$B$1,(IF($A$1&gt;=IL9,1,0)),0)</f>
        <v>0</v>
      </c>
      <c r="JD1" s="3">
        <f ca="1">IF(JK9&gt;=$B$1,(IF($A$1&gt;=JK9,1,0)),0)</f>
        <v>0</v>
      </c>
      <c r="JE1" s="3">
        <f ca="1">IF(JK9&gt;=$B$1,(IF($A$1&gt;=JK9,1,0)),0)</f>
        <v>0</v>
      </c>
      <c r="JF1" s="3">
        <f ca="1">IF(JK9&gt;=$B$1,(IF($A$1&gt;=JK9,1,0)),0)</f>
        <v>0</v>
      </c>
      <c r="JG1" s="3">
        <f ca="1">IF(JK9&gt;=$B$1,(IF($A$1&gt;=JK9,1,0)),0)</f>
        <v>0</v>
      </c>
      <c r="JH1" s="3">
        <f ca="1">IF(JK9&gt;=$B$1,(IF($A$1&gt;=JK9,1,0)),0)</f>
        <v>0</v>
      </c>
      <c r="JI1" s="3">
        <f ca="1">IF(JK9&gt;=$B$1,(IF($A$1&gt;=JK9,1,0)),0)</f>
        <v>0</v>
      </c>
      <c r="JJ1" s="3">
        <f ca="1">IF(JK9&gt;=$B$1,(IF($A$1&gt;=JK9,1,0)),0)</f>
        <v>0</v>
      </c>
      <c r="JK1" s="3">
        <f ca="1">IF(JK9&gt;=$B$1,(IF($A$1&gt;=JK9,1,0)),0)</f>
        <v>0</v>
      </c>
      <c r="JL1" s="3">
        <f ca="1">IF(JK9&gt;=$B$1,(IF($A$1&gt;=JK9,1,0)),0)</f>
        <v>0</v>
      </c>
      <c r="JM1" s="3">
        <f ca="1">IF(JK9&gt;=$B$1,(IF($A$1&gt;=JK9,1,0)),0)</f>
        <v>0</v>
      </c>
      <c r="JN1" s="3">
        <f ca="1">IF(JK9&gt;=$B$1,(IF($A$1&gt;=JK9,1,0)),0)</f>
        <v>0</v>
      </c>
      <c r="JO1" s="3">
        <f ca="1">IF(JK9&gt;=$B$1,(IF($A$1&gt;=JK9,1,0)),0)</f>
        <v>0</v>
      </c>
      <c r="JP1" s="3">
        <f ca="1">IF(JK9&gt;=$B$1,(IF($A$1&gt;=JK9,1,0)),0)</f>
        <v>0</v>
      </c>
      <c r="JQ1" s="3">
        <f ca="1">IF(JK9&gt;=$B$1,(IF($A$1&gt;=JK9,1,0)),0)</f>
        <v>0</v>
      </c>
      <c r="JR1" s="3">
        <f ca="1">IF(JK9&gt;=$B$1,(IF($A$1&gt;=JK9,1,0)),0)</f>
        <v>0</v>
      </c>
      <c r="JS1" s="3">
        <f ca="1">IF(JK9&gt;=$B$1,(IF($A$1&gt;=JK9,1,0)),0)</f>
        <v>0</v>
      </c>
      <c r="JT1" s="3">
        <f ca="1">IF(JK9&gt;=$B$1,(IF($A$1&gt;=JK9,1,0)),0)</f>
        <v>0</v>
      </c>
      <c r="JU1" s="3">
        <f ca="1">IF(JK9&gt;=$B$1,(IF($A$1&gt;=JK9,1,0)),0)</f>
        <v>0</v>
      </c>
      <c r="JV1" s="3">
        <f ca="1">IF(JK9&gt;=$B$1,(IF($A$1&gt;=JK9,1,0)),0)</f>
        <v>0</v>
      </c>
      <c r="JW1" s="3">
        <f ca="1">IF(JK9&gt;=$B$1,(IF($A$1&gt;=JK9,1,0)),0)</f>
        <v>0</v>
      </c>
      <c r="JX1" s="3">
        <f ca="1">IF(JK9&gt;=$B$1,(IF($A$1&gt;=JK9,1,0)),0)</f>
        <v>0</v>
      </c>
      <c r="JY1" s="3">
        <f ca="1">IF(JK9&gt;=$B$1,(IF($A$1&gt;=JK9,1,0)),0)</f>
        <v>0</v>
      </c>
      <c r="JZ1" s="3">
        <f ca="1">IF(JK9&gt;=$B$1,(IF($A$1&gt;=JK9,1,0)),0)</f>
        <v>0</v>
      </c>
      <c r="KA1" s="3">
        <f ca="1">IF(JK9&gt;=$B$1,(IF($A$1&gt;=JK9,1,0)),0)</f>
        <v>0</v>
      </c>
      <c r="KB1" s="3">
        <f ca="1">IF(JK9&gt;=$B$1,(IF($A$1&gt;=JK9,1,0)),0)</f>
        <v>0</v>
      </c>
      <c r="KC1" s="3">
        <f ca="1">IF(KJ9&gt;=$B$1,(IF($A$1&gt;=KJ9,1,0)),0)</f>
        <v>0</v>
      </c>
      <c r="KD1" s="3">
        <f ca="1">IF(KJ9&gt;=$B$1,(IF($A$1&gt;=KJ9,1,0)),0)</f>
        <v>0</v>
      </c>
      <c r="KE1" s="3">
        <f ca="1">IF(KJ9&gt;=$B$1,(IF($A$1&gt;=KJ9,1,0)),0)</f>
        <v>0</v>
      </c>
      <c r="KF1" s="3">
        <f ca="1">IF(KJ9&gt;=$B$1,(IF($A$1&gt;=KJ9,1,0)),0)</f>
        <v>0</v>
      </c>
      <c r="KG1" s="3">
        <f ca="1">IF(KJ9&gt;=$B$1,(IF($A$1&gt;=KJ9,1,0)),0)</f>
        <v>0</v>
      </c>
      <c r="KH1" s="3">
        <f ca="1">IF(KJ9&gt;=$B$1,(IF($A$1&gt;=KJ9,1,0)),0)</f>
        <v>0</v>
      </c>
      <c r="KI1" s="3">
        <f ca="1">IF(KJ9&gt;=$B$1,(IF($A$1&gt;=KJ9,1,0)),0)</f>
        <v>0</v>
      </c>
      <c r="KJ1" s="3">
        <f ca="1">IF(KJ9&gt;=$B$1,(IF($A$1&gt;=KJ9,1,0)),0)</f>
        <v>0</v>
      </c>
      <c r="KK1" s="3">
        <f ca="1">IF(KJ9&gt;=$B$1,(IF($A$1&gt;=KJ9,1,0)),0)</f>
        <v>0</v>
      </c>
      <c r="KL1" s="3">
        <f ca="1">IF(KJ9&gt;=$B$1,(IF($A$1&gt;=KJ9,1,0)),0)</f>
        <v>0</v>
      </c>
      <c r="KM1" s="3">
        <f ca="1">IF(KJ9&gt;=$B$1,(IF($A$1&gt;=KJ9,1,0)),0)</f>
        <v>0</v>
      </c>
      <c r="KN1" s="3">
        <f ca="1">IF(KJ9&gt;=$B$1,(IF($A$1&gt;=KJ9,1,0)),0)</f>
        <v>0</v>
      </c>
      <c r="KO1" s="3">
        <f ca="1">IF(KJ9&gt;=$B$1,(IF($A$1&gt;=KJ9,1,0)),0)</f>
        <v>0</v>
      </c>
      <c r="KP1" s="3">
        <f ca="1">IF(KJ9&gt;=$B$1,(IF($A$1&gt;=KJ9,1,0)),0)</f>
        <v>0</v>
      </c>
      <c r="KQ1" s="3">
        <f ca="1">IF(KJ9&gt;=$B$1,(IF($A$1&gt;=KJ9,1,0)),0)</f>
        <v>0</v>
      </c>
      <c r="KR1" s="3">
        <f ca="1">IF(KJ9&gt;=$B$1,(IF($A$1&gt;=KJ9,1,0)),0)</f>
        <v>0</v>
      </c>
      <c r="KS1" s="3">
        <f ca="1">IF(KJ9&gt;=$B$1,(IF($A$1&gt;=KJ9,1,0)),0)</f>
        <v>0</v>
      </c>
      <c r="KT1" s="3">
        <f ca="1">IF(KJ9&gt;=$B$1,(IF($A$1&gt;=KJ9,1,0)),0)</f>
        <v>0</v>
      </c>
      <c r="KU1" s="3">
        <f ca="1">IF(KJ9&gt;=$B$1,(IF($A$1&gt;=KJ9,1,0)),0)</f>
        <v>0</v>
      </c>
      <c r="KV1" s="3">
        <f ca="1">IF(KJ9&gt;=$B$1,(IF($A$1&gt;=KJ9,1,0)),0)</f>
        <v>0</v>
      </c>
      <c r="KW1" s="3">
        <f ca="1">IF(KJ9&gt;=$B$1,(IF($A$1&gt;=KJ9,1,0)),0)</f>
        <v>0</v>
      </c>
      <c r="KX1" s="3">
        <f ca="1">IF(KJ9&gt;=$B$1,(IF($A$1&gt;=KJ9,1,0)),0)</f>
        <v>0</v>
      </c>
      <c r="KY1" s="3">
        <f ca="1">IF(KJ9&gt;=$B$1,(IF($A$1&gt;=KJ9,1,0)),0)</f>
        <v>0</v>
      </c>
      <c r="KZ1" s="3">
        <f ca="1">IF(KJ9&gt;=$B$1,(IF($A$1&gt;=KJ9,1,0)),0)</f>
        <v>0</v>
      </c>
      <c r="LA1" s="3">
        <f ca="1">IF(KJ9&gt;=$B$1,(IF($A$1&gt;=KJ9,1,0)),0)</f>
        <v>0</v>
      </c>
    </row>
    <row r="2" spans="1:313" hidden="1" x14ac:dyDescent="0.25">
      <c r="M2" s="14"/>
    </row>
    <row r="3" spans="1:313" hidden="1" x14ac:dyDescent="0.25">
      <c r="M3" s="14"/>
    </row>
    <row r="4" spans="1:313" hidden="1" x14ac:dyDescent="0.25">
      <c r="C4" s="3" t="s">
        <v>90</v>
      </c>
      <c r="M4" s="14"/>
    </row>
    <row r="5" spans="1:313" hidden="1" x14ac:dyDescent="0.25">
      <c r="C5" s="3" t="s">
        <v>269</v>
      </c>
    </row>
    <row r="6" spans="1:313" ht="18.75" hidden="1" customHeight="1" x14ac:dyDescent="0.25">
      <c r="A6" s="3" t="s">
        <v>163</v>
      </c>
      <c r="B6" s="3" t="s">
        <v>194</v>
      </c>
      <c r="C6" s="3" t="s">
        <v>270</v>
      </c>
    </row>
    <row r="7" spans="1:313" ht="18.75" hidden="1" customHeight="1" x14ac:dyDescent="0.25"/>
    <row r="8" spans="1:313" hidden="1" x14ac:dyDescent="0.25"/>
    <row r="9" spans="1:313" ht="15" customHeight="1" thickBot="1" x14ac:dyDescent="0.3">
      <c r="A9" s="3" t="s">
        <v>163</v>
      </c>
      <c r="M9" s="45"/>
      <c r="N9" s="45">
        <v>1</v>
      </c>
      <c r="O9" s="45" t="str">
        <f>HOME!$H7</f>
        <v>मई</v>
      </c>
      <c r="P9" s="45">
        <f>HOME!$I7</f>
        <v>2019</v>
      </c>
      <c r="Q9" s="45">
        <f>IF(LEN(O9)&gt;=2,VLOOKUP(O9,$E$14:$F$25,2,0),0)</f>
        <v>5</v>
      </c>
      <c r="R9" s="126">
        <f>EDATE(U9,1)-1</f>
        <v>43616</v>
      </c>
      <c r="S9" s="45">
        <f>DAY(R9)</f>
        <v>31</v>
      </c>
      <c r="T9" s="45"/>
      <c r="U9" s="126">
        <f>IF(LEN($N$10)&gt;=5,DATE(P$9,Q$9,$A14),0)</f>
        <v>43586</v>
      </c>
      <c r="V9" s="45"/>
      <c r="W9" s="45"/>
      <c r="X9" s="45"/>
      <c r="Y9" s="45"/>
      <c r="Z9" s="45"/>
      <c r="AA9" s="45"/>
      <c r="AB9" s="45"/>
      <c r="AC9" s="45"/>
      <c r="AD9" s="45"/>
      <c r="AE9" s="45"/>
      <c r="AF9" s="45"/>
      <c r="AG9" s="45"/>
      <c r="AH9" s="45"/>
      <c r="AI9" s="45"/>
      <c r="AJ9" s="45"/>
      <c r="AK9" s="45"/>
      <c r="AL9" s="45"/>
      <c r="AM9" s="45">
        <v>1</v>
      </c>
      <c r="AN9" s="45" t="str">
        <f>HOME!$H8</f>
        <v>जून</v>
      </c>
      <c r="AO9" s="45">
        <f>HOME!$I8</f>
        <v>2019</v>
      </c>
      <c r="AP9" s="45">
        <f>IF(LEN(AN9)&gt;=2,VLOOKUP(AN9,$E$14:$F$25,2,0),0)</f>
        <v>6</v>
      </c>
      <c r="AQ9" s="126">
        <f>EDATE(AT9,1)-1</f>
        <v>43646</v>
      </c>
      <c r="AR9" s="45">
        <f>DAY(AQ9)</f>
        <v>30</v>
      </c>
      <c r="AS9" s="45"/>
      <c r="AT9" s="126">
        <f>IF(LEN($N$10)&gt;=5,DATE(AO$9,AP$9,$A14),0)</f>
        <v>43617</v>
      </c>
      <c r="AU9" s="45"/>
      <c r="AV9" s="45"/>
      <c r="AW9" s="45"/>
      <c r="AX9" s="45"/>
      <c r="AY9" s="45"/>
      <c r="AZ9" s="45"/>
      <c r="BA9" s="45"/>
      <c r="BB9" s="45"/>
      <c r="BC9" s="45"/>
      <c r="BD9" s="45"/>
      <c r="BE9" s="45"/>
      <c r="BF9" s="45"/>
      <c r="BG9" s="45"/>
      <c r="BH9" s="45"/>
      <c r="BI9" s="45"/>
      <c r="BJ9" s="45"/>
      <c r="BK9" s="45"/>
      <c r="BL9" s="45">
        <v>1</v>
      </c>
      <c r="BM9" s="45" t="str">
        <f>HOME!$H9</f>
        <v>जुलाई</v>
      </c>
      <c r="BN9" s="45">
        <f>HOME!$I9</f>
        <v>2019</v>
      </c>
      <c r="BO9" s="45">
        <f>IF(LEN(BM9)&gt;=2,VLOOKUP(BM9,$E$14:$F$25,2,0),0)</f>
        <v>7</v>
      </c>
      <c r="BP9" s="126">
        <f>EDATE(BS9,1)-1</f>
        <v>43677</v>
      </c>
      <c r="BQ9" s="45">
        <f>DAY(BP9)</f>
        <v>31</v>
      </c>
      <c r="BR9" s="45"/>
      <c r="BS9" s="126">
        <f>IF(LEN($N$10)&gt;=5,DATE(BN$9,BO$9,$A14),0)</f>
        <v>43647</v>
      </c>
      <c r="BT9" s="45"/>
      <c r="BU9" s="45"/>
      <c r="BV9" s="45"/>
      <c r="BW9" s="45"/>
      <c r="BX9" s="45"/>
      <c r="BY9" s="45"/>
      <c r="BZ9" s="45"/>
      <c r="CA9" s="45"/>
      <c r="CB9" s="45"/>
      <c r="CC9" s="45"/>
      <c r="CD9" s="45"/>
      <c r="CE9" s="45"/>
      <c r="CF9" s="45"/>
      <c r="CG9" s="45"/>
      <c r="CH9" s="45"/>
      <c r="CI9" s="45"/>
      <c r="CJ9" s="45"/>
      <c r="CK9" s="45">
        <v>1</v>
      </c>
      <c r="CL9" s="45" t="str">
        <f>HOME!$H10</f>
        <v>अगस्त</v>
      </c>
      <c r="CM9" s="45">
        <f>HOME!$I10</f>
        <v>2019</v>
      </c>
      <c r="CN9" s="45">
        <f>IF(LEN(CL9)&gt;=2,VLOOKUP(CL9,$E$14:$F$25,2,0),0)</f>
        <v>8</v>
      </c>
      <c r="CO9" s="126">
        <f>EDATE(CR9,1)-1</f>
        <v>43708</v>
      </c>
      <c r="CP9" s="45">
        <f>DAY(CO9)</f>
        <v>31</v>
      </c>
      <c r="CQ9" s="45"/>
      <c r="CR9" s="126">
        <f>IF(LEN($N$10)&gt;=5,DATE(CM$9,CN$9,$A14),0)</f>
        <v>43678</v>
      </c>
      <c r="CS9" s="45"/>
      <c r="CT9" s="45"/>
      <c r="CU9" s="45"/>
      <c r="CV9" s="45"/>
      <c r="CW9" s="45"/>
      <c r="CX9" s="45"/>
      <c r="CY9" s="45"/>
      <c r="CZ9" s="45"/>
      <c r="DA9" s="45"/>
      <c r="DB9" s="45"/>
      <c r="DC9" s="45"/>
      <c r="DD9" s="45"/>
      <c r="DE9" s="45"/>
      <c r="DF9" s="45"/>
      <c r="DG9" s="45"/>
      <c r="DH9" s="45"/>
      <c r="DI9" s="45"/>
      <c r="DJ9" s="45">
        <v>1</v>
      </c>
      <c r="DK9" s="45" t="str">
        <f>HOME!$H11</f>
        <v>सितम्बर</v>
      </c>
      <c r="DL9" s="45">
        <f>HOME!$I11</f>
        <v>2019</v>
      </c>
      <c r="DM9" s="45">
        <f>IF(LEN(DK9)&gt;=2,VLOOKUP(DK9,$E$14:$F$25,2,0),0)</f>
        <v>9</v>
      </c>
      <c r="DN9" s="126">
        <f>EDATE(DQ9,1)-1</f>
        <v>43738</v>
      </c>
      <c r="DO9" s="45">
        <f>DAY(DN9)</f>
        <v>30</v>
      </c>
      <c r="DP9" s="45"/>
      <c r="DQ9" s="126">
        <f>IF(LEN($N$10)&gt;=5,DATE(DL$9,DM$9,$A14),0)</f>
        <v>43709</v>
      </c>
      <c r="DR9" s="45"/>
      <c r="DS9" s="45"/>
      <c r="DT9" s="45"/>
      <c r="DU9" s="45"/>
      <c r="DV9" s="45"/>
      <c r="DW9" s="45"/>
      <c r="DX9" s="45"/>
      <c r="DY9" s="45"/>
      <c r="DZ9" s="45"/>
      <c r="EA9" s="45"/>
      <c r="EB9" s="45"/>
      <c r="EC9" s="45"/>
      <c r="ED9" s="45"/>
      <c r="EE9" s="45"/>
      <c r="EF9" s="45"/>
      <c r="EG9" s="45"/>
      <c r="EH9" s="45"/>
      <c r="EI9" s="45">
        <v>1</v>
      </c>
      <c r="EJ9" s="45" t="str">
        <f>HOME!$H12</f>
        <v>अक्टूम्बर</v>
      </c>
      <c r="EK9" s="45">
        <f>HOME!$I12</f>
        <v>2019</v>
      </c>
      <c r="EL9" s="45">
        <f>IF(LEN(EJ9)&gt;=2,VLOOKUP(EJ9,$E$14:$F$25,2,0),0)</f>
        <v>10</v>
      </c>
      <c r="EM9" s="126">
        <f>EDATE(EP9,1)-1</f>
        <v>43769</v>
      </c>
      <c r="EN9" s="45">
        <f>DAY(EM9)</f>
        <v>31</v>
      </c>
      <c r="EO9" s="45"/>
      <c r="EP9" s="126">
        <f>IF(LEN($N$10)&gt;=5,DATE(EK$9,EL$9,$A14),0)</f>
        <v>43739</v>
      </c>
      <c r="EQ9" s="45"/>
      <c r="ER9" s="45"/>
      <c r="ES9" s="45"/>
      <c r="ET9" s="45"/>
      <c r="EU9" s="45"/>
      <c r="EV9" s="45"/>
      <c r="EW9" s="45"/>
      <c r="EX9" s="45"/>
      <c r="EY9" s="45"/>
      <c r="EZ9" s="45"/>
      <c r="FA9" s="45"/>
      <c r="FB9" s="45"/>
      <c r="FC9" s="45"/>
      <c r="FD9" s="45"/>
      <c r="FE9" s="45"/>
      <c r="FF9" s="45"/>
      <c r="FG9" s="45"/>
      <c r="FH9" s="45">
        <v>1</v>
      </c>
      <c r="FI9" s="45" t="str">
        <f>HOME!$H13</f>
        <v>नवम्बर</v>
      </c>
      <c r="FJ9" s="45">
        <f>HOME!$I13</f>
        <v>2019</v>
      </c>
      <c r="FK9" s="45">
        <f>IF(LEN(FI9)&gt;=2,VLOOKUP(FI9,$E$14:$F$25,2,0),0)</f>
        <v>11</v>
      </c>
      <c r="FL9" s="126">
        <f>EDATE(FO9,1)-1</f>
        <v>43799</v>
      </c>
      <c r="FM9" s="45">
        <f>DAY(FL9)</f>
        <v>30</v>
      </c>
      <c r="FN9" s="45"/>
      <c r="FO9" s="126">
        <f>IF(LEN($N$10)&gt;=5,DATE(FJ$9,FK$9,$A14),0)</f>
        <v>43770</v>
      </c>
      <c r="FP9" s="45"/>
      <c r="FQ9" s="45"/>
      <c r="FR9" s="45"/>
      <c r="FS9" s="45"/>
      <c r="FT9" s="45"/>
      <c r="FU9" s="45"/>
      <c r="FV9" s="45"/>
      <c r="FW9" s="45"/>
      <c r="FX9" s="45"/>
      <c r="FY9" s="45"/>
      <c r="FZ9" s="45"/>
      <c r="GA9" s="45"/>
      <c r="GB9" s="45"/>
      <c r="GC9" s="45"/>
      <c r="GD9" s="45"/>
      <c r="GE9" s="45"/>
      <c r="GF9" s="45"/>
      <c r="GG9" s="45">
        <v>1</v>
      </c>
      <c r="GH9" s="45" t="str">
        <f>HOME!$H14</f>
        <v>दिसम्बर</v>
      </c>
      <c r="GI9" s="45">
        <f>HOME!$I14</f>
        <v>2019</v>
      </c>
      <c r="GJ9" s="45">
        <f>IF(LEN(GH9)&gt;=2,VLOOKUP(GH9,$E$14:$F$25,2,0),0)</f>
        <v>12</v>
      </c>
      <c r="GK9" s="126">
        <f>EDATE(GN9,1)-1</f>
        <v>43830</v>
      </c>
      <c r="GL9" s="45">
        <f>DAY(GK9)</f>
        <v>31</v>
      </c>
      <c r="GM9" s="45"/>
      <c r="GN9" s="126">
        <f>IF(LEN($N$10)&gt;=5,DATE(GI$9,GJ$9,$A14),0)</f>
        <v>43800</v>
      </c>
      <c r="GO9" s="45"/>
      <c r="GP9" s="45"/>
      <c r="GQ9" s="45"/>
      <c r="GR9" s="45"/>
      <c r="GS9" s="45"/>
      <c r="GT9" s="45"/>
      <c r="GU9" s="45"/>
      <c r="GV9" s="45"/>
      <c r="GW9" s="45"/>
      <c r="GX9" s="45"/>
      <c r="GY9" s="45"/>
      <c r="GZ9" s="45"/>
      <c r="HA9" s="45"/>
      <c r="HB9" s="45"/>
      <c r="HC9" s="45"/>
      <c r="HD9" s="45"/>
      <c r="HE9" s="45"/>
      <c r="HF9" s="45">
        <v>1</v>
      </c>
      <c r="HG9" s="45" t="str">
        <f>HOME!$H15</f>
        <v>जनवरी</v>
      </c>
      <c r="HH9" s="45">
        <f>HOME!$I15</f>
        <v>2020</v>
      </c>
      <c r="HI9" s="45">
        <f>IF(LEN(HG9)&gt;=2,VLOOKUP(HG9,$E$14:$F$25,2,0),0)</f>
        <v>1</v>
      </c>
      <c r="HJ9" s="126">
        <f>EDATE(HM9,1)-1</f>
        <v>43861</v>
      </c>
      <c r="HK9" s="45">
        <f>DAY(HJ9)</f>
        <v>31</v>
      </c>
      <c r="HL9" s="45"/>
      <c r="HM9" s="126">
        <f>IF(LEN($N$10)&gt;=5,DATE(HH$9,HI$9,$A14),0)</f>
        <v>43831</v>
      </c>
      <c r="HN9" s="45"/>
      <c r="HO9" s="45"/>
      <c r="HP9" s="45"/>
      <c r="HQ9" s="45"/>
      <c r="HR9" s="45"/>
      <c r="HS9" s="45"/>
      <c r="HT9" s="45"/>
      <c r="HU9" s="45"/>
      <c r="HV9" s="45"/>
      <c r="HW9" s="45"/>
      <c r="HX9" s="45"/>
      <c r="HY9" s="45"/>
      <c r="HZ9" s="45"/>
      <c r="IA9" s="45"/>
      <c r="IB9" s="45"/>
      <c r="IC9" s="45"/>
      <c r="ID9" s="45"/>
      <c r="IE9" s="45">
        <v>1</v>
      </c>
      <c r="IF9" s="45" t="str">
        <f>HOME!$H16</f>
        <v>फरवरी</v>
      </c>
      <c r="IG9" s="45">
        <f>HOME!$I16</f>
        <v>2020</v>
      </c>
      <c r="IH9" s="45">
        <f>IF(LEN(IF9)&gt;=2,VLOOKUP(IF9,$E$14:$F$25,2,0),0)</f>
        <v>2</v>
      </c>
      <c r="II9" s="126">
        <f>EDATE(IL9,1)-1</f>
        <v>43890</v>
      </c>
      <c r="IJ9" s="45">
        <f>DAY(II9)</f>
        <v>29</v>
      </c>
      <c r="IK9" s="45"/>
      <c r="IL9" s="126">
        <f>IF(LEN($N$10)&gt;=5,DATE(IG$9,IH$9,$A14),0)</f>
        <v>43862</v>
      </c>
      <c r="IM9" s="45"/>
      <c r="IN9" s="45"/>
      <c r="IO9" s="45"/>
      <c r="IP9" s="45"/>
      <c r="IQ9" s="45"/>
      <c r="IR9" s="45"/>
      <c r="IS9" s="45"/>
      <c r="IT9" s="45"/>
      <c r="IU9" s="45"/>
      <c r="IV9" s="45"/>
      <c r="IW9" s="45"/>
      <c r="IX9" s="45"/>
      <c r="IY9" s="45"/>
      <c r="IZ9" s="45"/>
      <c r="JA9" s="45"/>
      <c r="JB9" s="45"/>
      <c r="JC9" s="45"/>
      <c r="JD9" s="45">
        <v>1</v>
      </c>
      <c r="JE9" s="45" t="str">
        <f>HOME!$H17</f>
        <v>मार्च</v>
      </c>
      <c r="JF9" s="45">
        <f>HOME!$I17</f>
        <v>2020</v>
      </c>
      <c r="JG9" s="45">
        <f>IF(LEN(JE9)&gt;=2,VLOOKUP(JE9,$E$14:$F$25,2,0),0)</f>
        <v>3</v>
      </c>
      <c r="JH9" s="126">
        <f>EDATE(JK9,1)-1</f>
        <v>43921</v>
      </c>
      <c r="JI9" s="45">
        <f>DAY(JH9)</f>
        <v>31</v>
      </c>
      <c r="JJ9" s="45"/>
      <c r="JK9" s="126">
        <f>IF(LEN($N$10)&gt;=5,DATE(JF$9,JG$9,$A14),0)</f>
        <v>43891</v>
      </c>
      <c r="JL9" s="45"/>
      <c r="JM9" s="45"/>
      <c r="JN9" s="45"/>
      <c r="JO9" s="45"/>
      <c r="JP9" s="45"/>
      <c r="JQ9" s="45"/>
      <c r="JR9" s="45"/>
      <c r="JS9" s="45"/>
      <c r="JT9" s="45"/>
      <c r="JU9" s="45"/>
      <c r="JV9" s="45"/>
      <c r="JW9" s="45"/>
      <c r="JX9" s="45"/>
      <c r="JY9" s="45"/>
      <c r="JZ9" s="45"/>
      <c r="KA9" s="45"/>
      <c r="KB9" s="45"/>
      <c r="KC9" s="45">
        <v>1</v>
      </c>
      <c r="KD9" s="45" t="str">
        <f>HOME!$H18</f>
        <v>अप्रैल</v>
      </c>
      <c r="KE9" s="45">
        <f>HOME!$I18</f>
        <v>2020</v>
      </c>
      <c r="KF9" s="45">
        <f>IF(LEN(KD9)&gt;=2,VLOOKUP(KD9,$E$14:$F$25,2,0),0)</f>
        <v>4</v>
      </c>
      <c r="KG9" s="126">
        <f>EDATE(KJ9,1)-1</f>
        <v>43951</v>
      </c>
      <c r="KH9" s="45">
        <f>DAY(KG9)</f>
        <v>30</v>
      </c>
      <c r="KI9" s="45"/>
      <c r="KJ9" s="126">
        <f>IF(LEN($N$10)&gt;=5,DATE(KE$9,KF$9,$A14),0)</f>
        <v>43922</v>
      </c>
      <c r="KK9" s="45"/>
      <c r="KL9" s="45"/>
      <c r="KM9" s="45"/>
      <c r="KN9" s="45"/>
      <c r="KO9" s="45"/>
      <c r="KP9" s="45"/>
      <c r="KQ9" s="45"/>
      <c r="KR9" s="45"/>
      <c r="KS9" s="45"/>
      <c r="KT9" s="45"/>
      <c r="KU9" s="45"/>
      <c r="KV9" s="45"/>
      <c r="KW9" s="45"/>
      <c r="KX9" s="45"/>
      <c r="KY9" s="45"/>
      <c r="KZ9" s="45"/>
      <c r="LA9" s="45"/>
    </row>
    <row r="10" spans="1:313" ht="24.95" customHeight="1" x14ac:dyDescent="0.25">
      <c r="M10" s="46"/>
      <c r="N10" s="762" t="str">
        <f>HOME!D7</f>
        <v>मई 2019</v>
      </c>
      <c r="O10" s="763"/>
      <c r="P10" s="763"/>
      <c r="Q10" s="763"/>
      <c r="R10" s="763"/>
      <c r="S10" s="763"/>
      <c r="T10" s="763"/>
      <c r="U10" s="763"/>
      <c r="V10" s="763"/>
      <c r="W10" s="763"/>
      <c r="X10" s="763"/>
      <c r="Y10" s="763"/>
      <c r="Z10" s="763"/>
      <c r="AA10" s="763"/>
      <c r="AB10" s="763"/>
      <c r="AC10" s="763"/>
      <c r="AD10" s="763"/>
      <c r="AE10" s="763"/>
      <c r="AF10" s="763"/>
      <c r="AG10" s="763"/>
      <c r="AH10" s="763"/>
      <c r="AI10" s="763"/>
      <c r="AJ10" s="763"/>
      <c r="AK10" s="764"/>
      <c r="AL10" s="46"/>
      <c r="AM10" s="871" t="str">
        <f>HOME!D8</f>
        <v>जून 2019</v>
      </c>
      <c r="AN10" s="872"/>
      <c r="AO10" s="872"/>
      <c r="AP10" s="872"/>
      <c r="AQ10" s="872"/>
      <c r="AR10" s="872"/>
      <c r="AS10" s="872"/>
      <c r="AT10" s="872"/>
      <c r="AU10" s="872"/>
      <c r="AV10" s="872"/>
      <c r="AW10" s="872"/>
      <c r="AX10" s="872"/>
      <c r="AY10" s="872"/>
      <c r="AZ10" s="872"/>
      <c r="BA10" s="872"/>
      <c r="BB10" s="872"/>
      <c r="BC10" s="872"/>
      <c r="BD10" s="872"/>
      <c r="BE10" s="872"/>
      <c r="BF10" s="872"/>
      <c r="BG10" s="872"/>
      <c r="BH10" s="872"/>
      <c r="BI10" s="872"/>
      <c r="BJ10" s="873"/>
      <c r="BK10" s="46"/>
      <c r="BL10" s="874" t="str">
        <f>HOME!D9</f>
        <v>जुलाई 2019</v>
      </c>
      <c r="BM10" s="875"/>
      <c r="BN10" s="875"/>
      <c r="BO10" s="875"/>
      <c r="BP10" s="875"/>
      <c r="BQ10" s="875"/>
      <c r="BR10" s="875"/>
      <c r="BS10" s="875"/>
      <c r="BT10" s="875"/>
      <c r="BU10" s="875"/>
      <c r="BV10" s="875"/>
      <c r="BW10" s="875"/>
      <c r="BX10" s="875"/>
      <c r="BY10" s="875"/>
      <c r="BZ10" s="875"/>
      <c r="CA10" s="875"/>
      <c r="CB10" s="875"/>
      <c r="CC10" s="875"/>
      <c r="CD10" s="875"/>
      <c r="CE10" s="875"/>
      <c r="CF10" s="875"/>
      <c r="CG10" s="875"/>
      <c r="CH10" s="875"/>
      <c r="CI10" s="876"/>
      <c r="CJ10" s="46"/>
      <c r="CK10" s="877" t="str">
        <f>HOME!D10</f>
        <v>अगस्त 2019</v>
      </c>
      <c r="CL10" s="878"/>
      <c r="CM10" s="878"/>
      <c r="CN10" s="878"/>
      <c r="CO10" s="878"/>
      <c r="CP10" s="878"/>
      <c r="CQ10" s="878"/>
      <c r="CR10" s="878"/>
      <c r="CS10" s="878"/>
      <c r="CT10" s="878"/>
      <c r="CU10" s="878"/>
      <c r="CV10" s="878"/>
      <c r="CW10" s="878"/>
      <c r="CX10" s="878"/>
      <c r="CY10" s="878"/>
      <c r="CZ10" s="878"/>
      <c r="DA10" s="878"/>
      <c r="DB10" s="878"/>
      <c r="DC10" s="878"/>
      <c r="DD10" s="878"/>
      <c r="DE10" s="878"/>
      <c r="DF10" s="878"/>
      <c r="DG10" s="878"/>
      <c r="DH10" s="879"/>
      <c r="DI10" s="46"/>
      <c r="DJ10" s="880" t="str">
        <f>HOME!D11</f>
        <v>सितम्बर 2019</v>
      </c>
      <c r="DK10" s="881"/>
      <c r="DL10" s="881"/>
      <c r="DM10" s="881"/>
      <c r="DN10" s="881"/>
      <c r="DO10" s="881"/>
      <c r="DP10" s="881"/>
      <c r="DQ10" s="881"/>
      <c r="DR10" s="881"/>
      <c r="DS10" s="881"/>
      <c r="DT10" s="881"/>
      <c r="DU10" s="881"/>
      <c r="DV10" s="881"/>
      <c r="DW10" s="881"/>
      <c r="DX10" s="881"/>
      <c r="DY10" s="881"/>
      <c r="DZ10" s="881"/>
      <c r="EA10" s="881"/>
      <c r="EB10" s="881"/>
      <c r="EC10" s="881"/>
      <c r="ED10" s="881"/>
      <c r="EE10" s="881"/>
      <c r="EF10" s="881"/>
      <c r="EG10" s="882"/>
      <c r="EH10" s="46"/>
      <c r="EI10" s="883" t="str">
        <f>HOME!D12</f>
        <v>अक्टूम्बर 2019</v>
      </c>
      <c r="EJ10" s="884"/>
      <c r="EK10" s="884"/>
      <c r="EL10" s="884"/>
      <c r="EM10" s="884"/>
      <c r="EN10" s="884"/>
      <c r="EO10" s="884"/>
      <c r="EP10" s="884"/>
      <c r="EQ10" s="884"/>
      <c r="ER10" s="884"/>
      <c r="ES10" s="884"/>
      <c r="ET10" s="884"/>
      <c r="EU10" s="884"/>
      <c r="EV10" s="884"/>
      <c r="EW10" s="884"/>
      <c r="EX10" s="884"/>
      <c r="EY10" s="884"/>
      <c r="EZ10" s="884"/>
      <c r="FA10" s="884"/>
      <c r="FB10" s="884"/>
      <c r="FC10" s="884"/>
      <c r="FD10" s="884"/>
      <c r="FE10" s="884"/>
      <c r="FF10" s="885"/>
      <c r="FG10" s="46"/>
      <c r="FH10" s="762" t="str">
        <f>HOME!D13</f>
        <v>नवम्बर 2019</v>
      </c>
      <c r="FI10" s="763"/>
      <c r="FJ10" s="763"/>
      <c r="FK10" s="763"/>
      <c r="FL10" s="763"/>
      <c r="FM10" s="763"/>
      <c r="FN10" s="763"/>
      <c r="FO10" s="763"/>
      <c r="FP10" s="763"/>
      <c r="FQ10" s="763"/>
      <c r="FR10" s="763"/>
      <c r="FS10" s="763"/>
      <c r="FT10" s="763"/>
      <c r="FU10" s="763"/>
      <c r="FV10" s="763"/>
      <c r="FW10" s="763"/>
      <c r="FX10" s="763"/>
      <c r="FY10" s="763"/>
      <c r="FZ10" s="763"/>
      <c r="GA10" s="763"/>
      <c r="GB10" s="763"/>
      <c r="GC10" s="763"/>
      <c r="GD10" s="763"/>
      <c r="GE10" s="764"/>
      <c r="GF10" s="46"/>
      <c r="GG10" s="871" t="str">
        <f>HOME!D14</f>
        <v>दिसम्बर 2019</v>
      </c>
      <c r="GH10" s="872"/>
      <c r="GI10" s="872"/>
      <c r="GJ10" s="872"/>
      <c r="GK10" s="872"/>
      <c r="GL10" s="872"/>
      <c r="GM10" s="872"/>
      <c r="GN10" s="872"/>
      <c r="GO10" s="872"/>
      <c r="GP10" s="872"/>
      <c r="GQ10" s="872"/>
      <c r="GR10" s="872"/>
      <c r="GS10" s="872"/>
      <c r="GT10" s="872"/>
      <c r="GU10" s="872"/>
      <c r="GV10" s="872"/>
      <c r="GW10" s="872"/>
      <c r="GX10" s="872"/>
      <c r="GY10" s="872"/>
      <c r="GZ10" s="872"/>
      <c r="HA10" s="872"/>
      <c r="HB10" s="872"/>
      <c r="HC10" s="872"/>
      <c r="HD10" s="873"/>
      <c r="HE10" s="46"/>
      <c r="HF10" s="874" t="str">
        <f>HOME!D15</f>
        <v>जनवरी 2020</v>
      </c>
      <c r="HG10" s="875"/>
      <c r="HH10" s="875"/>
      <c r="HI10" s="875"/>
      <c r="HJ10" s="875"/>
      <c r="HK10" s="875"/>
      <c r="HL10" s="875"/>
      <c r="HM10" s="875"/>
      <c r="HN10" s="875"/>
      <c r="HO10" s="875"/>
      <c r="HP10" s="875"/>
      <c r="HQ10" s="875"/>
      <c r="HR10" s="875"/>
      <c r="HS10" s="875"/>
      <c r="HT10" s="875"/>
      <c r="HU10" s="875"/>
      <c r="HV10" s="875"/>
      <c r="HW10" s="875"/>
      <c r="HX10" s="875"/>
      <c r="HY10" s="875"/>
      <c r="HZ10" s="875"/>
      <c r="IA10" s="875"/>
      <c r="IB10" s="875"/>
      <c r="IC10" s="876"/>
      <c r="ID10" s="46"/>
      <c r="IE10" s="877" t="str">
        <f>HOME!D16</f>
        <v>फरवरी 2020</v>
      </c>
      <c r="IF10" s="878"/>
      <c r="IG10" s="878"/>
      <c r="IH10" s="878"/>
      <c r="II10" s="878"/>
      <c r="IJ10" s="878"/>
      <c r="IK10" s="878"/>
      <c r="IL10" s="878"/>
      <c r="IM10" s="878"/>
      <c r="IN10" s="878"/>
      <c r="IO10" s="878"/>
      <c r="IP10" s="878"/>
      <c r="IQ10" s="878"/>
      <c r="IR10" s="878"/>
      <c r="IS10" s="878"/>
      <c r="IT10" s="878"/>
      <c r="IU10" s="878"/>
      <c r="IV10" s="878"/>
      <c r="IW10" s="878"/>
      <c r="IX10" s="878"/>
      <c r="IY10" s="878"/>
      <c r="IZ10" s="878"/>
      <c r="JA10" s="878"/>
      <c r="JB10" s="879"/>
      <c r="JC10" s="46"/>
      <c r="JD10" s="880" t="str">
        <f>HOME!D17</f>
        <v>मार्च 2020</v>
      </c>
      <c r="JE10" s="881"/>
      <c r="JF10" s="881"/>
      <c r="JG10" s="881"/>
      <c r="JH10" s="881"/>
      <c r="JI10" s="881"/>
      <c r="JJ10" s="881"/>
      <c r="JK10" s="881"/>
      <c r="JL10" s="881"/>
      <c r="JM10" s="881"/>
      <c r="JN10" s="881"/>
      <c r="JO10" s="881"/>
      <c r="JP10" s="881"/>
      <c r="JQ10" s="881"/>
      <c r="JR10" s="881"/>
      <c r="JS10" s="881"/>
      <c r="JT10" s="881"/>
      <c r="JU10" s="881"/>
      <c r="JV10" s="881"/>
      <c r="JW10" s="881"/>
      <c r="JX10" s="881"/>
      <c r="JY10" s="881"/>
      <c r="JZ10" s="881"/>
      <c r="KA10" s="882"/>
      <c r="KB10" s="46"/>
      <c r="KC10" s="883" t="str">
        <f>HOME!D18</f>
        <v>अप्रैल 2020</v>
      </c>
      <c r="KD10" s="884"/>
      <c r="KE10" s="884"/>
      <c r="KF10" s="884"/>
      <c r="KG10" s="884"/>
      <c r="KH10" s="884"/>
      <c r="KI10" s="884"/>
      <c r="KJ10" s="884"/>
      <c r="KK10" s="884"/>
      <c r="KL10" s="884"/>
      <c r="KM10" s="884"/>
      <c r="KN10" s="884"/>
      <c r="KO10" s="884"/>
      <c r="KP10" s="884"/>
      <c r="KQ10" s="884"/>
      <c r="KR10" s="884"/>
      <c r="KS10" s="884"/>
      <c r="KT10" s="884"/>
      <c r="KU10" s="884"/>
      <c r="KV10" s="884"/>
      <c r="KW10" s="884"/>
      <c r="KX10" s="884"/>
      <c r="KY10" s="884"/>
      <c r="KZ10" s="885"/>
      <c r="LA10" s="46"/>
    </row>
    <row r="11" spans="1:313" ht="18" customHeight="1" x14ac:dyDescent="0.25">
      <c r="F11" s="127"/>
      <c r="M11" s="46"/>
      <c r="N11" s="812" t="s">
        <v>178</v>
      </c>
      <c r="O11" s="817" t="s">
        <v>142</v>
      </c>
      <c r="P11" s="765" t="s">
        <v>179</v>
      </c>
      <c r="Q11" s="813" t="s">
        <v>196</v>
      </c>
      <c r="R11" s="813"/>
      <c r="S11" s="765" t="s">
        <v>70</v>
      </c>
      <c r="T11" s="765"/>
      <c r="U11" s="765" t="s">
        <v>180</v>
      </c>
      <c r="V11" s="765"/>
      <c r="W11" s="765"/>
      <c r="X11" s="765"/>
      <c r="Y11" s="765"/>
      <c r="Z11" s="765"/>
      <c r="AA11" s="765" t="s">
        <v>249</v>
      </c>
      <c r="AB11" s="765"/>
      <c r="AC11" s="765"/>
      <c r="AD11" s="765"/>
      <c r="AE11" s="765"/>
      <c r="AF11" s="765"/>
      <c r="AG11" s="765"/>
      <c r="AH11" s="765"/>
      <c r="AI11" s="765"/>
      <c r="AJ11" s="765"/>
      <c r="AK11" s="818"/>
      <c r="AL11" s="46"/>
      <c r="AM11" s="814" t="s">
        <v>178</v>
      </c>
      <c r="AN11" s="768" t="s">
        <v>142</v>
      </c>
      <c r="AO11" s="771" t="s">
        <v>179</v>
      </c>
      <c r="AP11" s="774" t="s">
        <v>196</v>
      </c>
      <c r="AQ11" s="775"/>
      <c r="AR11" s="778" t="s">
        <v>70</v>
      </c>
      <c r="AS11" s="779"/>
      <c r="AT11" s="782" t="s">
        <v>180</v>
      </c>
      <c r="AU11" s="783"/>
      <c r="AV11" s="783"/>
      <c r="AW11" s="783"/>
      <c r="AX11" s="783"/>
      <c r="AY11" s="784"/>
      <c r="AZ11" s="782" t="s">
        <v>249</v>
      </c>
      <c r="BA11" s="783"/>
      <c r="BB11" s="783"/>
      <c r="BC11" s="783"/>
      <c r="BD11" s="783"/>
      <c r="BE11" s="783"/>
      <c r="BF11" s="783"/>
      <c r="BG11" s="783"/>
      <c r="BH11" s="783"/>
      <c r="BI11" s="783"/>
      <c r="BJ11" s="870"/>
      <c r="BK11" s="46"/>
      <c r="BL11" s="802" t="s">
        <v>178</v>
      </c>
      <c r="BM11" s="819" t="s">
        <v>142</v>
      </c>
      <c r="BN11" s="822" t="s">
        <v>179</v>
      </c>
      <c r="BO11" s="825" t="s">
        <v>196</v>
      </c>
      <c r="BP11" s="826"/>
      <c r="BQ11" s="829" t="s">
        <v>70</v>
      </c>
      <c r="BR11" s="830"/>
      <c r="BS11" s="833" t="s">
        <v>180</v>
      </c>
      <c r="BT11" s="834"/>
      <c r="BU11" s="834"/>
      <c r="BV11" s="834"/>
      <c r="BW11" s="834"/>
      <c r="BX11" s="835"/>
      <c r="BY11" s="833" t="s">
        <v>249</v>
      </c>
      <c r="BZ11" s="834"/>
      <c r="CA11" s="834"/>
      <c r="CB11" s="834"/>
      <c r="CC11" s="834"/>
      <c r="CD11" s="834"/>
      <c r="CE11" s="834"/>
      <c r="CF11" s="834"/>
      <c r="CG11" s="834"/>
      <c r="CH11" s="834"/>
      <c r="CI11" s="845"/>
      <c r="CJ11" s="46"/>
      <c r="CK11" s="786" t="s">
        <v>178</v>
      </c>
      <c r="CL11" s="788" t="s">
        <v>142</v>
      </c>
      <c r="CM11" s="790" t="s">
        <v>179</v>
      </c>
      <c r="CN11" s="796" t="s">
        <v>196</v>
      </c>
      <c r="CO11" s="797"/>
      <c r="CP11" s="848" t="s">
        <v>70</v>
      </c>
      <c r="CQ11" s="849"/>
      <c r="CR11" s="800" t="s">
        <v>180</v>
      </c>
      <c r="CS11" s="846"/>
      <c r="CT11" s="846"/>
      <c r="CU11" s="846"/>
      <c r="CV11" s="846"/>
      <c r="CW11" s="801"/>
      <c r="CX11" s="800" t="s">
        <v>249</v>
      </c>
      <c r="CY11" s="846"/>
      <c r="CZ11" s="846"/>
      <c r="DA11" s="846"/>
      <c r="DB11" s="846"/>
      <c r="DC11" s="846"/>
      <c r="DD11" s="846"/>
      <c r="DE11" s="846"/>
      <c r="DF11" s="846"/>
      <c r="DG11" s="846"/>
      <c r="DH11" s="847"/>
      <c r="DI11" s="46"/>
      <c r="DJ11" s="852" t="s">
        <v>178</v>
      </c>
      <c r="DK11" s="855" t="s">
        <v>142</v>
      </c>
      <c r="DL11" s="805" t="s">
        <v>179</v>
      </c>
      <c r="DM11" s="808" t="s">
        <v>196</v>
      </c>
      <c r="DN11" s="809"/>
      <c r="DO11" s="858" t="s">
        <v>70</v>
      </c>
      <c r="DP11" s="859"/>
      <c r="DQ11" s="862" t="s">
        <v>180</v>
      </c>
      <c r="DR11" s="863"/>
      <c r="DS11" s="863"/>
      <c r="DT11" s="863"/>
      <c r="DU11" s="863"/>
      <c r="DV11" s="864"/>
      <c r="DW11" s="862" t="s">
        <v>249</v>
      </c>
      <c r="DX11" s="863"/>
      <c r="DY11" s="863"/>
      <c r="DZ11" s="863"/>
      <c r="EA11" s="863"/>
      <c r="EB11" s="863"/>
      <c r="EC11" s="863"/>
      <c r="ED11" s="863"/>
      <c r="EE11" s="863"/>
      <c r="EF11" s="863"/>
      <c r="EG11" s="886"/>
      <c r="EH11" s="46"/>
      <c r="EI11" s="887" t="s">
        <v>178</v>
      </c>
      <c r="EJ11" s="890" t="s">
        <v>142</v>
      </c>
      <c r="EK11" s="868" t="s">
        <v>179</v>
      </c>
      <c r="EL11" s="894" t="s">
        <v>196</v>
      </c>
      <c r="EM11" s="895"/>
      <c r="EN11" s="840" t="s">
        <v>70</v>
      </c>
      <c r="EO11" s="841"/>
      <c r="EP11" s="792" t="s">
        <v>180</v>
      </c>
      <c r="EQ11" s="844"/>
      <c r="ER11" s="844"/>
      <c r="ES11" s="844"/>
      <c r="ET11" s="844"/>
      <c r="EU11" s="793"/>
      <c r="EV11" s="792" t="s">
        <v>249</v>
      </c>
      <c r="EW11" s="844"/>
      <c r="EX11" s="844"/>
      <c r="EY11" s="844"/>
      <c r="EZ11" s="844"/>
      <c r="FA11" s="844"/>
      <c r="FB11" s="844"/>
      <c r="FC11" s="844"/>
      <c r="FD11" s="844"/>
      <c r="FE11" s="844"/>
      <c r="FF11" s="867"/>
      <c r="FG11" s="46"/>
      <c r="FH11" s="812" t="s">
        <v>178</v>
      </c>
      <c r="FI11" s="817" t="s">
        <v>142</v>
      </c>
      <c r="FJ11" s="765" t="s">
        <v>179</v>
      </c>
      <c r="FK11" s="813" t="s">
        <v>196</v>
      </c>
      <c r="FL11" s="813"/>
      <c r="FM11" s="765" t="s">
        <v>70</v>
      </c>
      <c r="FN11" s="765"/>
      <c r="FO11" s="765" t="s">
        <v>180</v>
      </c>
      <c r="FP11" s="765"/>
      <c r="FQ11" s="765"/>
      <c r="FR11" s="765"/>
      <c r="FS11" s="765"/>
      <c r="FT11" s="765"/>
      <c r="FU11" s="765" t="s">
        <v>249</v>
      </c>
      <c r="FV11" s="765"/>
      <c r="FW11" s="765"/>
      <c r="FX11" s="765"/>
      <c r="FY11" s="765"/>
      <c r="FZ11" s="765"/>
      <c r="GA11" s="765"/>
      <c r="GB11" s="765"/>
      <c r="GC11" s="765"/>
      <c r="GD11" s="765"/>
      <c r="GE11" s="818"/>
      <c r="GF11" s="46"/>
      <c r="GG11" s="865" t="s">
        <v>178</v>
      </c>
      <c r="GH11" s="866" t="s">
        <v>142</v>
      </c>
      <c r="GI11" s="767" t="s">
        <v>179</v>
      </c>
      <c r="GJ11" s="907" t="s">
        <v>196</v>
      </c>
      <c r="GK11" s="907"/>
      <c r="GL11" s="767" t="s">
        <v>70</v>
      </c>
      <c r="GM11" s="767"/>
      <c r="GN11" s="767" t="s">
        <v>180</v>
      </c>
      <c r="GO11" s="767"/>
      <c r="GP11" s="767"/>
      <c r="GQ11" s="767"/>
      <c r="GR11" s="767"/>
      <c r="GS11" s="767"/>
      <c r="GT11" s="767" t="s">
        <v>249</v>
      </c>
      <c r="GU11" s="767"/>
      <c r="GV11" s="767"/>
      <c r="GW11" s="767"/>
      <c r="GX11" s="767"/>
      <c r="GY11" s="767"/>
      <c r="GZ11" s="767"/>
      <c r="HA11" s="767"/>
      <c r="HB11" s="767"/>
      <c r="HC11" s="767"/>
      <c r="HD11" s="898"/>
      <c r="HE11" s="46"/>
      <c r="HF11" s="910" t="s">
        <v>178</v>
      </c>
      <c r="HG11" s="908" t="s">
        <v>142</v>
      </c>
      <c r="HH11" s="899" t="s">
        <v>179</v>
      </c>
      <c r="HI11" s="909" t="s">
        <v>196</v>
      </c>
      <c r="HJ11" s="909"/>
      <c r="HK11" s="899" t="s">
        <v>70</v>
      </c>
      <c r="HL11" s="899"/>
      <c r="HM11" s="899" t="s">
        <v>180</v>
      </c>
      <c r="HN11" s="899"/>
      <c r="HO11" s="899"/>
      <c r="HP11" s="899"/>
      <c r="HQ11" s="899"/>
      <c r="HR11" s="899"/>
      <c r="HS11" s="899" t="s">
        <v>249</v>
      </c>
      <c r="HT11" s="899"/>
      <c r="HU11" s="899"/>
      <c r="HV11" s="899"/>
      <c r="HW11" s="899"/>
      <c r="HX11" s="899"/>
      <c r="HY11" s="899"/>
      <c r="HZ11" s="899"/>
      <c r="IA11" s="899"/>
      <c r="IB11" s="899"/>
      <c r="IC11" s="900"/>
      <c r="ID11" s="46"/>
      <c r="IE11" s="785" t="s">
        <v>178</v>
      </c>
      <c r="IF11" s="787" t="s">
        <v>142</v>
      </c>
      <c r="IG11" s="789" t="s">
        <v>179</v>
      </c>
      <c r="IH11" s="791" t="s">
        <v>196</v>
      </c>
      <c r="II11" s="791"/>
      <c r="IJ11" s="789" t="s">
        <v>70</v>
      </c>
      <c r="IK11" s="789"/>
      <c r="IL11" s="789" t="s">
        <v>180</v>
      </c>
      <c r="IM11" s="789"/>
      <c r="IN11" s="789"/>
      <c r="IO11" s="789"/>
      <c r="IP11" s="789"/>
      <c r="IQ11" s="789"/>
      <c r="IR11" s="789" t="s">
        <v>249</v>
      </c>
      <c r="IS11" s="789"/>
      <c r="IT11" s="789"/>
      <c r="IU11" s="789"/>
      <c r="IV11" s="789"/>
      <c r="IW11" s="789"/>
      <c r="IX11" s="789"/>
      <c r="IY11" s="789"/>
      <c r="IZ11" s="789"/>
      <c r="JA11" s="789"/>
      <c r="JB11" s="901"/>
      <c r="JC11" s="46"/>
      <c r="JD11" s="905" t="s">
        <v>178</v>
      </c>
      <c r="JE11" s="906" t="s">
        <v>142</v>
      </c>
      <c r="JF11" s="766" t="s">
        <v>179</v>
      </c>
      <c r="JG11" s="911" t="s">
        <v>196</v>
      </c>
      <c r="JH11" s="911"/>
      <c r="JI11" s="766" t="s">
        <v>70</v>
      </c>
      <c r="JJ11" s="766"/>
      <c r="JK11" s="766" t="s">
        <v>180</v>
      </c>
      <c r="JL11" s="766"/>
      <c r="JM11" s="766"/>
      <c r="JN11" s="766"/>
      <c r="JO11" s="766"/>
      <c r="JP11" s="766"/>
      <c r="JQ11" s="766" t="s">
        <v>249</v>
      </c>
      <c r="JR11" s="766"/>
      <c r="JS11" s="766"/>
      <c r="JT11" s="766"/>
      <c r="JU11" s="766"/>
      <c r="JV11" s="766"/>
      <c r="JW11" s="766"/>
      <c r="JX11" s="766"/>
      <c r="JY11" s="766"/>
      <c r="JZ11" s="766"/>
      <c r="KA11" s="902"/>
      <c r="KB11" s="46"/>
      <c r="KC11" s="912" t="s">
        <v>178</v>
      </c>
      <c r="KD11" s="913" t="s">
        <v>142</v>
      </c>
      <c r="KE11" s="903" t="s">
        <v>179</v>
      </c>
      <c r="KF11" s="914" t="s">
        <v>196</v>
      </c>
      <c r="KG11" s="914"/>
      <c r="KH11" s="903" t="s">
        <v>70</v>
      </c>
      <c r="KI11" s="903"/>
      <c r="KJ11" s="903" t="s">
        <v>180</v>
      </c>
      <c r="KK11" s="903"/>
      <c r="KL11" s="903"/>
      <c r="KM11" s="903"/>
      <c r="KN11" s="903"/>
      <c r="KO11" s="903"/>
      <c r="KP11" s="903" t="s">
        <v>249</v>
      </c>
      <c r="KQ11" s="903"/>
      <c r="KR11" s="903"/>
      <c r="KS11" s="903"/>
      <c r="KT11" s="903"/>
      <c r="KU11" s="903"/>
      <c r="KV11" s="903"/>
      <c r="KW11" s="903"/>
      <c r="KX11" s="903"/>
      <c r="KY11" s="903"/>
      <c r="KZ11" s="904"/>
      <c r="LA11" s="46"/>
    </row>
    <row r="12" spans="1:313" ht="18" customHeight="1" x14ac:dyDescent="0.25">
      <c r="M12" s="46"/>
      <c r="N12" s="812"/>
      <c r="O12" s="817"/>
      <c r="P12" s="765"/>
      <c r="Q12" s="813"/>
      <c r="R12" s="813"/>
      <c r="S12" s="765"/>
      <c r="T12" s="765"/>
      <c r="U12" s="765" t="s">
        <v>181</v>
      </c>
      <c r="V12" s="765"/>
      <c r="W12" s="765" t="s">
        <v>182</v>
      </c>
      <c r="X12" s="765"/>
      <c r="Y12" s="765" t="s">
        <v>20</v>
      </c>
      <c r="Z12" s="765"/>
      <c r="AA12" s="765" t="s">
        <v>198</v>
      </c>
      <c r="AB12" s="765" t="s">
        <v>197</v>
      </c>
      <c r="AC12" s="765"/>
      <c r="AD12" s="765" t="s">
        <v>89</v>
      </c>
      <c r="AE12" s="765"/>
      <c r="AF12" s="765" t="s">
        <v>117</v>
      </c>
      <c r="AG12" s="765"/>
      <c r="AH12" s="765" t="s">
        <v>118</v>
      </c>
      <c r="AI12" s="765"/>
      <c r="AJ12" s="765" t="s">
        <v>119</v>
      </c>
      <c r="AK12" s="818"/>
      <c r="AL12" s="46"/>
      <c r="AM12" s="815"/>
      <c r="AN12" s="769"/>
      <c r="AO12" s="772"/>
      <c r="AP12" s="776"/>
      <c r="AQ12" s="777"/>
      <c r="AR12" s="780"/>
      <c r="AS12" s="781"/>
      <c r="AT12" s="782" t="s">
        <v>181</v>
      </c>
      <c r="AU12" s="784"/>
      <c r="AV12" s="782" t="s">
        <v>182</v>
      </c>
      <c r="AW12" s="784"/>
      <c r="AX12" s="782" t="s">
        <v>20</v>
      </c>
      <c r="AY12" s="784"/>
      <c r="AZ12" s="771" t="s">
        <v>198</v>
      </c>
      <c r="BA12" s="782" t="s">
        <v>197</v>
      </c>
      <c r="BB12" s="784"/>
      <c r="BC12" s="782" t="s">
        <v>89</v>
      </c>
      <c r="BD12" s="784"/>
      <c r="BE12" s="782" t="s">
        <v>117</v>
      </c>
      <c r="BF12" s="784"/>
      <c r="BG12" s="782" t="s">
        <v>118</v>
      </c>
      <c r="BH12" s="784"/>
      <c r="BI12" s="782" t="s">
        <v>119</v>
      </c>
      <c r="BJ12" s="870"/>
      <c r="BK12" s="46"/>
      <c r="BL12" s="803"/>
      <c r="BM12" s="820"/>
      <c r="BN12" s="823"/>
      <c r="BO12" s="827"/>
      <c r="BP12" s="828"/>
      <c r="BQ12" s="831"/>
      <c r="BR12" s="832"/>
      <c r="BS12" s="833" t="s">
        <v>181</v>
      </c>
      <c r="BT12" s="835"/>
      <c r="BU12" s="833" t="s">
        <v>182</v>
      </c>
      <c r="BV12" s="835"/>
      <c r="BW12" s="833" t="s">
        <v>20</v>
      </c>
      <c r="BX12" s="835"/>
      <c r="BY12" s="822" t="s">
        <v>198</v>
      </c>
      <c r="BZ12" s="833" t="s">
        <v>197</v>
      </c>
      <c r="CA12" s="835"/>
      <c r="CB12" s="833" t="s">
        <v>89</v>
      </c>
      <c r="CC12" s="835"/>
      <c r="CD12" s="833" t="s">
        <v>117</v>
      </c>
      <c r="CE12" s="835"/>
      <c r="CF12" s="833" t="s">
        <v>118</v>
      </c>
      <c r="CG12" s="835"/>
      <c r="CH12" s="833" t="s">
        <v>119</v>
      </c>
      <c r="CI12" s="845"/>
      <c r="CJ12" s="46"/>
      <c r="CK12" s="794"/>
      <c r="CL12" s="836"/>
      <c r="CM12" s="838"/>
      <c r="CN12" s="798"/>
      <c r="CO12" s="799"/>
      <c r="CP12" s="850"/>
      <c r="CQ12" s="851"/>
      <c r="CR12" s="800" t="s">
        <v>181</v>
      </c>
      <c r="CS12" s="801"/>
      <c r="CT12" s="800" t="s">
        <v>182</v>
      </c>
      <c r="CU12" s="801"/>
      <c r="CV12" s="800" t="s">
        <v>20</v>
      </c>
      <c r="CW12" s="801"/>
      <c r="CX12" s="790" t="s">
        <v>198</v>
      </c>
      <c r="CY12" s="800" t="s">
        <v>197</v>
      </c>
      <c r="CZ12" s="801"/>
      <c r="DA12" s="800" t="s">
        <v>89</v>
      </c>
      <c r="DB12" s="801"/>
      <c r="DC12" s="800" t="s">
        <v>117</v>
      </c>
      <c r="DD12" s="801"/>
      <c r="DE12" s="800" t="s">
        <v>118</v>
      </c>
      <c r="DF12" s="801"/>
      <c r="DG12" s="800" t="s">
        <v>119</v>
      </c>
      <c r="DH12" s="847"/>
      <c r="DI12" s="46"/>
      <c r="DJ12" s="853"/>
      <c r="DK12" s="856"/>
      <c r="DL12" s="806"/>
      <c r="DM12" s="810"/>
      <c r="DN12" s="811"/>
      <c r="DO12" s="860"/>
      <c r="DP12" s="861"/>
      <c r="DQ12" s="862" t="s">
        <v>181</v>
      </c>
      <c r="DR12" s="864"/>
      <c r="DS12" s="862" t="s">
        <v>182</v>
      </c>
      <c r="DT12" s="864"/>
      <c r="DU12" s="862" t="s">
        <v>20</v>
      </c>
      <c r="DV12" s="864"/>
      <c r="DW12" s="805" t="s">
        <v>198</v>
      </c>
      <c r="DX12" s="862" t="s">
        <v>197</v>
      </c>
      <c r="DY12" s="864"/>
      <c r="DZ12" s="862" t="s">
        <v>89</v>
      </c>
      <c r="EA12" s="864"/>
      <c r="EB12" s="862" t="s">
        <v>117</v>
      </c>
      <c r="EC12" s="864"/>
      <c r="ED12" s="862" t="s">
        <v>118</v>
      </c>
      <c r="EE12" s="864"/>
      <c r="EF12" s="862" t="s">
        <v>119</v>
      </c>
      <c r="EG12" s="886"/>
      <c r="EH12" s="46"/>
      <c r="EI12" s="888"/>
      <c r="EJ12" s="891"/>
      <c r="EK12" s="893"/>
      <c r="EL12" s="896"/>
      <c r="EM12" s="897"/>
      <c r="EN12" s="842"/>
      <c r="EO12" s="843"/>
      <c r="EP12" s="792" t="s">
        <v>181</v>
      </c>
      <c r="EQ12" s="793"/>
      <c r="ER12" s="792" t="s">
        <v>182</v>
      </c>
      <c r="ES12" s="793"/>
      <c r="ET12" s="792" t="s">
        <v>20</v>
      </c>
      <c r="EU12" s="793"/>
      <c r="EV12" s="868" t="s">
        <v>198</v>
      </c>
      <c r="EW12" s="792" t="s">
        <v>197</v>
      </c>
      <c r="EX12" s="793"/>
      <c r="EY12" s="792" t="s">
        <v>89</v>
      </c>
      <c r="EZ12" s="793"/>
      <c r="FA12" s="792" t="s">
        <v>117</v>
      </c>
      <c r="FB12" s="793"/>
      <c r="FC12" s="792" t="s">
        <v>118</v>
      </c>
      <c r="FD12" s="793"/>
      <c r="FE12" s="792" t="s">
        <v>119</v>
      </c>
      <c r="FF12" s="867"/>
      <c r="FG12" s="46"/>
      <c r="FH12" s="812"/>
      <c r="FI12" s="817"/>
      <c r="FJ12" s="765"/>
      <c r="FK12" s="813"/>
      <c r="FL12" s="813"/>
      <c r="FM12" s="765"/>
      <c r="FN12" s="765"/>
      <c r="FO12" s="765" t="s">
        <v>181</v>
      </c>
      <c r="FP12" s="765"/>
      <c r="FQ12" s="765" t="s">
        <v>182</v>
      </c>
      <c r="FR12" s="765"/>
      <c r="FS12" s="765" t="s">
        <v>20</v>
      </c>
      <c r="FT12" s="765"/>
      <c r="FU12" s="765" t="s">
        <v>198</v>
      </c>
      <c r="FV12" s="765" t="s">
        <v>197</v>
      </c>
      <c r="FW12" s="765"/>
      <c r="FX12" s="765" t="s">
        <v>89</v>
      </c>
      <c r="FY12" s="765"/>
      <c r="FZ12" s="765" t="s">
        <v>117</v>
      </c>
      <c r="GA12" s="765"/>
      <c r="GB12" s="765" t="s">
        <v>118</v>
      </c>
      <c r="GC12" s="765"/>
      <c r="GD12" s="765" t="s">
        <v>119</v>
      </c>
      <c r="GE12" s="818"/>
      <c r="GF12" s="46"/>
      <c r="GG12" s="865"/>
      <c r="GH12" s="866"/>
      <c r="GI12" s="767"/>
      <c r="GJ12" s="907"/>
      <c r="GK12" s="907"/>
      <c r="GL12" s="767"/>
      <c r="GM12" s="767"/>
      <c r="GN12" s="767" t="s">
        <v>181</v>
      </c>
      <c r="GO12" s="767"/>
      <c r="GP12" s="767" t="s">
        <v>182</v>
      </c>
      <c r="GQ12" s="767"/>
      <c r="GR12" s="767" t="s">
        <v>20</v>
      </c>
      <c r="GS12" s="767"/>
      <c r="GT12" s="767" t="s">
        <v>198</v>
      </c>
      <c r="GU12" s="767" t="s">
        <v>197</v>
      </c>
      <c r="GV12" s="767"/>
      <c r="GW12" s="767" t="s">
        <v>89</v>
      </c>
      <c r="GX12" s="767"/>
      <c r="GY12" s="767" t="s">
        <v>117</v>
      </c>
      <c r="GZ12" s="767"/>
      <c r="HA12" s="767" t="s">
        <v>118</v>
      </c>
      <c r="HB12" s="767"/>
      <c r="HC12" s="767" t="s">
        <v>119</v>
      </c>
      <c r="HD12" s="898"/>
      <c r="HE12" s="46"/>
      <c r="HF12" s="910"/>
      <c r="HG12" s="908"/>
      <c r="HH12" s="899"/>
      <c r="HI12" s="909"/>
      <c r="HJ12" s="909"/>
      <c r="HK12" s="899"/>
      <c r="HL12" s="899"/>
      <c r="HM12" s="899" t="s">
        <v>181</v>
      </c>
      <c r="HN12" s="899"/>
      <c r="HO12" s="899" t="s">
        <v>182</v>
      </c>
      <c r="HP12" s="899"/>
      <c r="HQ12" s="899" t="s">
        <v>20</v>
      </c>
      <c r="HR12" s="899"/>
      <c r="HS12" s="899" t="s">
        <v>198</v>
      </c>
      <c r="HT12" s="899" t="s">
        <v>197</v>
      </c>
      <c r="HU12" s="899"/>
      <c r="HV12" s="899" t="s">
        <v>89</v>
      </c>
      <c r="HW12" s="899"/>
      <c r="HX12" s="899" t="s">
        <v>117</v>
      </c>
      <c r="HY12" s="899"/>
      <c r="HZ12" s="899" t="s">
        <v>118</v>
      </c>
      <c r="IA12" s="899"/>
      <c r="IB12" s="899" t="s">
        <v>119</v>
      </c>
      <c r="IC12" s="900"/>
      <c r="ID12" s="46"/>
      <c r="IE12" s="785"/>
      <c r="IF12" s="787"/>
      <c r="IG12" s="789"/>
      <c r="IH12" s="791"/>
      <c r="II12" s="791"/>
      <c r="IJ12" s="789"/>
      <c r="IK12" s="789"/>
      <c r="IL12" s="789" t="s">
        <v>181</v>
      </c>
      <c r="IM12" s="789"/>
      <c r="IN12" s="789" t="s">
        <v>182</v>
      </c>
      <c r="IO12" s="789"/>
      <c r="IP12" s="789" t="s">
        <v>20</v>
      </c>
      <c r="IQ12" s="789"/>
      <c r="IR12" s="789" t="s">
        <v>198</v>
      </c>
      <c r="IS12" s="789" t="s">
        <v>197</v>
      </c>
      <c r="IT12" s="789"/>
      <c r="IU12" s="789" t="s">
        <v>89</v>
      </c>
      <c r="IV12" s="789"/>
      <c r="IW12" s="789" t="s">
        <v>117</v>
      </c>
      <c r="IX12" s="789"/>
      <c r="IY12" s="789" t="s">
        <v>118</v>
      </c>
      <c r="IZ12" s="789"/>
      <c r="JA12" s="789" t="s">
        <v>119</v>
      </c>
      <c r="JB12" s="901"/>
      <c r="JC12" s="46"/>
      <c r="JD12" s="905"/>
      <c r="JE12" s="906"/>
      <c r="JF12" s="766"/>
      <c r="JG12" s="911"/>
      <c r="JH12" s="911"/>
      <c r="JI12" s="766"/>
      <c r="JJ12" s="766"/>
      <c r="JK12" s="766" t="s">
        <v>181</v>
      </c>
      <c r="JL12" s="766"/>
      <c r="JM12" s="766" t="s">
        <v>182</v>
      </c>
      <c r="JN12" s="766"/>
      <c r="JO12" s="766" t="s">
        <v>20</v>
      </c>
      <c r="JP12" s="766"/>
      <c r="JQ12" s="766" t="s">
        <v>198</v>
      </c>
      <c r="JR12" s="766" t="s">
        <v>197</v>
      </c>
      <c r="JS12" s="766"/>
      <c r="JT12" s="766" t="s">
        <v>89</v>
      </c>
      <c r="JU12" s="766"/>
      <c r="JV12" s="766" t="s">
        <v>117</v>
      </c>
      <c r="JW12" s="766"/>
      <c r="JX12" s="766" t="s">
        <v>118</v>
      </c>
      <c r="JY12" s="766"/>
      <c r="JZ12" s="766" t="s">
        <v>119</v>
      </c>
      <c r="KA12" s="902"/>
      <c r="KB12" s="46"/>
      <c r="KC12" s="912"/>
      <c r="KD12" s="913"/>
      <c r="KE12" s="903"/>
      <c r="KF12" s="914"/>
      <c r="KG12" s="914"/>
      <c r="KH12" s="903"/>
      <c r="KI12" s="903"/>
      <c r="KJ12" s="903" t="s">
        <v>181</v>
      </c>
      <c r="KK12" s="903"/>
      <c r="KL12" s="903" t="s">
        <v>182</v>
      </c>
      <c r="KM12" s="903"/>
      <c r="KN12" s="903" t="s">
        <v>20</v>
      </c>
      <c r="KO12" s="903"/>
      <c r="KP12" s="903" t="s">
        <v>198</v>
      </c>
      <c r="KQ12" s="903" t="s">
        <v>197</v>
      </c>
      <c r="KR12" s="903"/>
      <c r="KS12" s="903" t="s">
        <v>89</v>
      </c>
      <c r="KT12" s="903"/>
      <c r="KU12" s="903" t="s">
        <v>117</v>
      </c>
      <c r="KV12" s="903"/>
      <c r="KW12" s="903" t="s">
        <v>118</v>
      </c>
      <c r="KX12" s="903"/>
      <c r="KY12" s="903" t="s">
        <v>119</v>
      </c>
      <c r="KZ12" s="904"/>
      <c r="LA12" s="46"/>
    </row>
    <row r="13" spans="1:313" ht="18" customHeight="1" x14ac:dyDescent="0.25">
      <c r="M13" s="46"/>
      <c r="N13" s="812"/>
      <c r="O13" s="817"/>
      <c r="P13" s="765"/>
      <c r="Q13" s="128" t="s">
        <v>195</v>
      </c>
      <c r="R13" s="128" t="s">
        <v>143</v>
      </c>
      <c r="S13" s="129" t="s">
        <v>71</v>
      </c>
      <c r="T13" s="129" t="s">
        <v>72</v>
      </c>
      <c r="U13" s="129" t="s">
        <v>71</v>
      </c>
      <c r="V13" s="129" t="s">
        <v>72</v>
      </c>
      <c r="W13" s="129" t="s">
        <v>71</v>
      </c>
      <c r="X13" s="129" t="s">
        <v>72</v>
      </c>
      <c r="Y13" s="129" t="s">
        <v>71</v>
      </c>
      <c r="Z13" s="129" t="s">
        <v>72</v>
      </c>
      <c r="AA13" s="765"/>
      <c r="AB13" s="129" t="s">
        <v>71</v>
      </c>
      <c r="AC13" s="129" t="s">
        <v>72</v>
      </c>
      <c r="AD13" s="129" t="s">
        <v>71</v>
      </c>
      <c r="AE13" s="129" t="s">
        <v>72</v>
      </c>
      <c r="AF13" s="129" t="s">
        <v>71</v>
      </c>
      <c r="AG13" s="129" t="s">
        <v>72</v>
      </c>
      <c r="AH13" s="129" t="s">
        <v>71</v>
      </c>
      <c r="AI13" s="129" t="s">
        <v>72</v>
      </c>
      <c r="AJ13" s="129" t="s">
        <v>71</v>
      </c>
      <c r="AK13" s="130" t="s">
        <v>72</v>
      </c>
      <c r="AL13" s="46"/>
      <c r="AM13" s="816"/>
      <c r="AN13" s="770"/>
      <c r="AO13" s="773"/>
      <c r="AP13" s="283" t="s">
        <v>195</v>
      </c>
      <c r="AQ13" s="283" t="s">
        <v>143</v>
      </c>
      <c r="AR13" s="132" t="s">
        <v>71</v>
      </c>
      <c r="AS13" s="132" t="s">
        <v>72</v>
      </c>
      <c r="AT13" s="132" t="s">
        <v>71</v>
      </c>
      <c r="AU13" s="132" t="s">
        <v>72</v>
      </c>
      <c r="AV13" s="132" t="s">
        <v>71</v>
      </c>
      <c r="AW13" s="132" t="s">
        <v>72</v>
      </c>
      <c r="AX13" s="132" t="s">
        <v>71</v>
      </c>
      <c r="AY13" s="132" t="s">
        <v>72</v>
      </c>
      <c r="AZ13" s="773"/>
      <c r="BA13" s="133" t="s">
        <v>71</v>
      </c>
      <c r="BB13" s="133" t="s">
        <v>72</v>
      </c>
      <c r="BC13" s="133" t="s">
        <v>71</v>
      </c>
      <c r="BD13" s="133" t="s">
        <v>72</v>
      </c>
      <c r="BE13" s="133" t="s">
        <v>71</v>
      </c>
      <c r="BF13" s="133" t="s">
        <v>72</v>
      </c>
      <c r="BG13" s="133" t="s">
        <v>71</v>
      </c>
      <c r="BH13" s="133" t="s">
        <v>72</v>
      </c>
      <c r="BI13" s="133" t="s">
        <v>71</v>
      </c>
      <c r="BJ13" s="134" t="s">
        <v>72</v>
      </c>
      <c r="BK13" s="46"/>
      <c r="BL13" s="804"/>
      <c r="BM13" s="821"/>
      <c r="BN13" s="824"/>
      <c r="BO13" s="282" t="s">
        <v>195</v>
      </c>
      <c r="BP13" s="282" t="s">
        <v>143</v>
      </c>
      <c r="BQ13" s="136" t="s">
        <v>71</v>
      </c>
      <c r="BR13" s="136" t="s">
        <v>72</v>
      </c>
      <c r="BS13" s="136" t="s">
        <v>71</v>
      </c>
      <c r="BT13" s="136" t="s">
        <v>72</v>
      </c>
      <c r="BU13" s="136" t="s">
        <v>71</v>
      </c>
      <c r="BV13" s="136" t="s">
        <v>72</v>
      </c>
      <c r="BW13" s="136" t="s">
        <v>71</v>
      </c>
      <c r="BX13" s="136" t="s">
        <v>72</v>
      </c>
      <c r="BY13" s="824"/>
      <c r="BZ13" s="137" t="s">
        <v>71</v>
      </c>
      <c r="CA13" s="137" t="s">
        <v>72</v>
      </c>
      <c r="CB13" s="137" t="s">
        <v>71</v>
      </c>
      <c r="CC13" s="137" t="s">
        <v>72</v>
      </c>
      <c r="CD13" s="137" t="s">
        <v>71</v>
      </c>
      <c r="CE13" s="137" t="s">
        <v>72</v>
      </c>
      <c r="CF13" s="137" t="s">
        <v>71</v>
      </c>
      <c r="CG13" s="137" t="s">
        <v>72</v>
      </c>
      <c r="CH13" s="137" t="s">
        <v>71</v>
      </c>
      <c r="CI13" s="138" t="s">
        <v>72</v>
      </c>
      <c r="CJ13" s="46"/>
      <c r="CK13" s="795"/>
      <c r="CL13" s="837"/>
      <c r="CM13" s="839"/>
      <c r="CN13" s="284" t="s">
        <v>195</v>
      </c>
      <c r="CO13" s="284" t="s">
        <v>143</v>
      </c>
      <c r="CP13" s="140" t="s">
        <v>71</v>
      </c>
      <c r="CQ13" s="140" t="s">
        <v>72</v>
      </c>
      <c r="CR13" s="140" t="s">
        <v>71</v>
      </c>
      <c r="CS13" s="140" t="s">
        <v>72</v>
      </c>
      <c r="CT13" s="140" t="s">
        <v>71</v>
      </c>
      <c r="CU13" s="140" t="s">
        <v>72</v>
      </c>
      <c r="CV13" s="140" t="s">
        <v>71</v>
      </c>
      <c r="CW13" s="140" t="s">
        <v>72</v>
      </c>
      <c r="CX13" s="839"/>
      <c r="CY13" s="141" t="s">
        <v>71</v>
      </c>
      <c r="CZ13" s="141" t="s">
        <v>72</v>
      </c>
      <c r="DA13" s="141" t="s">
        <v>71</v>
      </c>
      <c r="DB13" s="141" t="s">
        <v>72</v>
      </c>
      <c r="DC13" s="141" t="s">
        <v>71</v>
      </c>
      <c r="DD13" s="141" t="s">
        <v>72</v>
      </c>
      <c r="DE13" s="141" t="s">
        <v>71</v>
      </c>
      <c r="DF13" s="141" t="s">
        <v>72</v>
      </c>
      <c r="DG13" s="141" t="s">
        <v>71</v>
      </c>
      <c r="DH13" s="142" t="s">
        <v>72</v>
      </c>
      <c r="DI13" s="46"/>
      <c r="DJ13" s="854"/>
      <c r="DK13" s="857"/>
      <c r="DL13" s="807"/>
      <c r="DM13" s="281" t="s">
        <v>195</v>
      </c>
      <c r="DN13" s="281" t="s">
        <v>143</v>
      </c>
      <c r="DO13" s="144" t="s">
        <v>71</v>
      </c>
      <c r="DP13" s="144" t="s">
        <v>72</v>
      </c>
      <c r="DQ13" s="144" t="s">
        <v>71</v>
      </c>
      <c r="DR13" s="144" t="s">
        <v>72</v>
      </c>
      <c r="DS13" s="144" t="s">
        <v>71</v>
      </c>
      <c r="DT13" s="144" t="s">
        <v>72</v>
      </c>
      <c r="DU13" s="144" t="s">
        <v>71</v>
      </c>
      <c r="DV13" s="144" t="s">
        <v>72</v>
      </c>
      <c r="DW13" s="807"/>
      <c r="DX13" s="145" t="s">
        <v>71</v>
      </c>
      <c r="DY13" s="145" t="s">
        <v>72</v>
      </c>
      <c r="DZ13" s="145" t="s">
        <v>71</v>
      </c>
      <c r="EA13" s="145" t="s">
        <v>72</v>
      </c>
      <c r="EB13" s="145" t="s">
        <v>71</v>
      </c>
      <c r="EC13" s="145" t="s">
        <v>72</v>
      </c>
      <c r="ED13" s="145" t="s">
        <v>71</v>
      </c>
      <c r="EE13" s="145" t="s">
        <v>72</v>
      </c>
      <c r="EF13" s="145" t="s">
        <v>71</v>
      </c>
      <c r="EG13" s="146" t="s">
        <v>72</v>
      </c>
      <c r="EH13" s="46"/>
      <c r="EI13" s="889"/>
      <c r="EJ13" s="892"/>
      <c r="EK13" s="869"/>
      <c r="EL13" s="280" t="s">
        <v>195</v>
      </c>
      <c r="EM13" s="280" t="s">
        <v>143</v>
      </c>
      <c r="EN13" s="148" t="s">
        <v>71</v>
      </c>
      <c r="EO13" s="148" t="s">
        <v>72</v>
      </c>
      <c r="EP13" s="148" t="s">
        <v>71</v>
      </c>
      <c r="EQ13" s="148" t="s">
        <v>72</v>
      </c>
      <c r="ER13" s="148" t="s">
        <v>71</v>
      </c>
      <c r="ES13" s="148" t="s">
        <v>72</v>
      </c>
      <c r="ET13" s="148" t="s">
        <v>71</v>
      </c>
      <c r="EU13" s="148" t="s">
        <v>72</v>
      </c>
      <c r="EV13" s="869"/>
      <c r="EW13" s="149" t="s">
        <v>71</v>
      </c>
      <c r="EX13" s="149" t="s">
        <v>72</v>
      </c>
      <c r="EY13" s="149" t="s">
        <v>71</v>
      </c>
      <c r="EZ13" s="149" t="s">
        <v>72</v>
      </c>
      <c r="FA13" s="149" t="s">
        <v>71</v>
      </c>
      <c r="FB13" s="149" t="s">
        <v>72</v>
      </c>
      <c r="FC13" s="149" t="s">
        <v>71</v>
      </c>
      <c r="FD13" s="149" t="s">
        <v>72</v>
      </c>
      <c r="FE13" s="149" t="s">
        <v>71</v>
      </c>
      <c r="FF13" s="150" t="s">
        <v>72</v>
      </c>
      <c r="FG13" s="46"/>
      <c r="FH13" s="812"/>
      <c r="FI13" s="817"/>
      <c r="FJ13" s="765"/>
      <c r="FK13" s="128" t="s">
        <v>195</v>
      </c>
      <c r="FL13" s="128" t="s">
        <v>143</v>
      </c>
      <c r="FM13" s="129" t="s">
        <v>71</v>
      </c>
      <c r="FN13" s="129" t="s">
        <v>72</v>
      </c>
      <c r="FO13" s="129" t="s">
        <v>71</v>
      </c>
      <c r="FP13" s="129" t="s">
        <v>72</v>
      </c>
      <c r="FQ13" s="129" t="s">
        <v>71</v>
      </c>
      <c r="FR13" s="129" t="s">
        <v>72</v>
      </c>
      <c r="FS13" s="129" t="s">
        <v>71</v>
      </c>
      <c r="FT13" s="129" t="s">
        <v>72</v>
      </c>
      <c r="FU13" s="765"/>
      <c r="FV13" s="129" t="s">
        <v>71</v>
      </c>
      <c r="FW13" s="129" t="s">
        <v>72</v>
      </c>
      <c r="FX13" s="129" t="s">
        <v>71</v>
      </c>
      <c r="FY13" s="129" t="s">
        <v>72</v>
      </c>
      <c r="FZ13" s="129" t="s">
        <v>71</v>
      </c>
      <c r="GA13" s="129" t="s">
        <v>72</v>
      </c>
      <c r="GB13" s="129" t="s">
        <v>71</v>
      </c>
      <c r="GC13" s="129" t="s">
        <v>72</v>
      </c>
      <c r="GD13" s="129" t="s">
        <v>71</v>
      </c>
      <c r="GE13" s="130" t="s">
        <v>72</v>
      </c>
      <c r="GF13" s="46"/>
      <c r="GG13" s="814"/>
      <c r="GH13" s="768"/>
      <c r="GI13" s="771"/>
      <c r="GJ13" s="131" t="s">
        <v>195</v>
      </c>
      <c r="GK13" s="131" t="s">
        <v>143</v>
      </c>
      <c r="GL13" s="132" t="s">
        <v>71</v>
      </c>
      <c r="GM13" s="132" t="s">
        <v>72</v>
      </c>
      <c r="GN13" s="132" t="s">
        <v>71</v>
      </c>
      <c r="GO13" s="132" t="s">
        <v>72</v>
      </c>
      <c r="GP13" s="132" t="s">
        <v>71</v>
      </c>
      <c r="GQ13" s="132" t="s">
        <v>72</v>
      </c>
      <c r="GR13" s="132" t="s">
        <v>71</v>
      </c>
      <c r="GS13" s="132" t="s">
        <v>72</v>
      </c>
      <c r="GT13" s="767"/>
      <c r="GU13" s="133" t="s">
        <v>71</v>
      </c>
      <c r="GV13" s="133" t="s">
        <v>72</v>
      </c>
      <c r="GW13" s="133" t="s">
        <v>71</v>
      </c>
      <c r="GX13" s="133" t="s">
        <v>72</v>
      </c>
      <c r="GY13" s="133" t="s">
        <v>71</v>
      </c>
      <c r="GZ13" s="133" t="s">
        <v>72</v>
      </c>
      <c r="HA13" s="133" t="s">
        <v>71</v>
      </c>
      <c r="HB13" s="133" t="s">
        <v>72</v>
      </c>
      <c r="HC13" s="133" t="s">
        <v>71</v>
      </c>
      <c r="HD13" s="134" t="s">
        <v>72</v>
      </c>
      <c r="HE13" s="46"/>
      <c r="HF13" s="802"/>
      <c r="HG13" s="819"/>
      <c r="HH13" s="822"/>
      <c r="HI13" s="135" t="s">
        <v>195</v>
      </c>
      <c r="HJ13" s="135" t="s">
        <v>143</v>
      </c>
      <c r="HK13" s="136" t="s">
        <v>71</v>
      </c>
      <c r="HL13" s="136" t="s">
        <v>72</v>
      </c>
      <c r="HM13" s="136" t="s">
        <v>71</v>
      </c>
      <c r="HN13" s="136" t="s">
        <v>72</v>
      </c>
      <c r="HO13" s="136" t="s">
        <v>71</v>
      </c>
      <c r="HP13" s="136" t="s">
        <v>72</v>
      </c>
      <c r="HQ13" s="136" t="s">
        <v>71</v>
      </c>
      <c r="HR13" s="136" t="s">
        <v>72</v>
      </c>
      <c r="HS13" s="899"/>
      <c r="HT13" s="137" t="s">
        <v>71</v>
      </c>
      <c r="HU13" s="137" t="s">
        <v>72</v>
      </c>
      <c r="HV13" s="137" t="s">
        <v>71</v>
      </c>
      <c r="HW13" s="137" t="s">
        <v>72</v>
      </c>
      <c r="HX13" s="137" t="s">
        <v>71</v>
      </c>
      <c r="HY13" s="137" t="s">
        <v>72</v>
      </c>
      <c r="HZ13" s="137" t="s">
        <v>71</v>
      </c>
      <c r="IA13" s="137" t="s">
        <v>72</v>
      </c>
      <c r="IB13" s="137" t="s">
        <v>71</v>
      </c>
      <c r="IC13" s="138" t="s">
        <v>72</v>
      </c>
      <c r="ID13" s="46"/>
      <c r="IE13" s="786"/>
      <c r="IF13" s="788"/>
      <c r="IG13" s="790"/>
      <c r="IH13" s="139" t="s">
        <v>195</v>
      </c>
      <c r="II13" s="139" t="s">
        <v>143</v>
      </c>
      <c r="IJ13" s="140" t="s">
        <v>71</v>
      </c>
      <c r="IK13" s="140" t="s">
        <v>72</v>
      </c>
      <c r="IL13" s="140" t="s">
        <v>71</v>
      </c>
      <c r="IM13" s="140" t="s">
        <v>72</v>
      </c>
      <c r="IN13" s="140" t="s">
        <v>71</v>
      </c>
      <c r="IO13" s="140" t="s">
        <v>72</v>
      </c>
      <c r="IP13" s="140" t="s">
        <v>71</v>
      </c>
      <c r="IQ13" s="140" t="s">
        <v>72</v>
      </c>
      <c r="IR13" s="789"/>
      <c r="IS13" s="141" t="s">
        <v>71</v>
      </c>
      <c r="IT13" s="141" t="s">
        <v>72</v>
      </c>
      <c r="IU13" s="141" t="s">
        <v>71</v>
      </c>
      <c r="IV13" s="141" t="s">
        <v>72</v>
      </c>
      <c r="IW13" s="141" t="s">
        <v>71</v>
      </c>
      <c r="IX13" s="141" t="s">
        <v>72</v>
      </c>
      <c r="IY13" s="141" t="s">
        <v>71</v>
      </c>
      <c r="IZ13" s="141" t="s">
        <v>72</v>
      </c>
      <c r="JA13" s="141" t="s">
        <v>71</v>
      </c>
      <c r="JB13" s="142" t="s">
        <v>72</v>
      </c>
      <c r="JC13" s="46"/>
      <c r="JD13" s="852"/>
      <c r="JE13" s="855"/>
      <c r="JF13" s="805"/>
      <c r="JG13" s="143" t="s">
        <v>195</v>
      </c>
      <c r="JH13" s="143" t="s">
        <v>143</v>
      </c>
      <c r="JI13" s="144" t="s">
        <v>71</v>
      </c>
      <c r="JJ13" s="144" t="s">
        <v>72</v>
      </c>
      <c r="JK13" s="144" t="s">
        <v>71</v>
      </c>
      <c r="JL13" s="144" t="s">
        <v>72</v>
      </c>
      <c r="JM13" s="144" t="s">
        <v>71</v>
      </c>
      <c r="JN13" s="144" t="s">
        <v>72</v>
      </c>
      <c r="JO13" s="144" t="s">
        <v>71</v>
      </c>
      <c r="JP13" s="144" t="s">
        <v>72</v>
      </c>
      <c r="JQ13" s="766"/>
      <c r="JR13" s="145" t="s">
        <v>71</v>
      </c>
      <c r="JS13" s="145" t="s">
        <v>72</v>
      </c>
      <c r="JT13" s="145" t="s">
        <v>71</v>
      </c>
      <c r="JU13" s="145" t="s">
        <v>72</v>
      </c>
      <c r="JV13" s="145" t="s">
        <v>71</v>
      </c>
      <c r="JW13" s="145" t="s">
        <v>72</v>
      </c>
      <c r="JX13" s="145" t="s">
        <v>71</v>
      </c>
      <c r="JY13" s="145" t="s">
        <v>72</v>
      </c>
      <c r="JZ13" s="145" t="s">
        <v>71</v>
      </c>
      <c r="KA13" s="146" t="s">
        <v>72</v>
      </c>
      <c r="KB13" s="46"/>
      <c r="KC13" s="887"/>
      <c r="KD13" s="890"/>
      <c r="KE13" s="868"/>
      <c r="KF13" s="147" t="s">
        <v>195</v>
      </c>
      <c r="KG13" s="147" t="s">
        <v>143</v>
      </c>
      <c r="KH13" s="148" t="s">
        <v>71</v>
      </c>
      <c r="KI13" s="148" t="s">
        <v>72</v>
      </c>
      <c r="KJ13" s="148" t="s">
        <v>71</v>
      </c>
      <c r="KK13" s="148" t="s">
        <v>72</v>
      </c>
      <c r="KL13" s="148" t="s">
        <v>71</v>
      </c>
      <c r="KM13" s="148" t="s">
        <v>72</v>
      </c>
      <c r="KN13" s="148" t="s">
        <v>71</v>
      </c>
      <c r="KO13" s="148" t="s">
        <v>72</v>
      </c>
      <c r="KP13" s="903"/>
      <c r="KQ13" s="149" t="s">
        <v>71</v>
      </c>
      <c r="KR13" s="149" t="s">
        <v>72</v>
      </c>
      <c r="KS13" s="149" t="s">
        <v>71</v>
      </c>
      <c r="KT13" s="149" t="s">
        <v>72</v>
      </c>
      <c r="KU13" s="149" t="s">
        <v>71</v>
      </c>
      <c r="KV13" s="149" t="s">
        <v>72</v>
      </c>
      <c r="KW13" s="149" t="s">
        <v>71</v>
      </c>
      <c r="KX13" s="149" t="s">
        <v>72</v>
      </c>
      <c r="KY13" s="149" t="s">
        <v>71</v>
      </c>
      <c r="KZ13" s="150" t="s">
        <v>72</v>
      </c>
      <c r="LA13" s="46"/>
    </row>
    <row r="14" spans="1:313" ht="20.100000000000001" customHeight="1" x14ac:dyDescent="0.25">
      <c r="A14" s="3">
        <v>1</v>
      </c>
      <c r="B14" s="3" t="str">
        <f>HOME!H7</f>
        <v>मई</v>
      </c>
      <c r="C14" s="3">
        <f>HOME!I7</f>
        <v>2019</v>
      </c>
      <c r="D14" s="3">
        <f>IF(LEN(B14)&gt;=2,VLOOKUP(B14,$E$14:$F$25,2,0),0)</f>
        <v>5</v>
      </c>
      <c r="E14" s="3" t="s">
        <v>138</v>
      </c>
      <c r="F14" s="3">
        <v>1</v>
      </c>
      <c r="I14" s="52">
        <v>36526</v>
      </c>
      <c r="M14" s="46">
        <f ca="1">IFERROR(INDEX(AWAKASH!I$10:J$40,MATCH(N14,AWAKASH!J$10:J$40,0),1),0)</f>
        <v>0</v>
      </c>
      <c r="N14" s="151">
        <f t="shared" ref="N14:N44" ca="1" si="0">IF(LEN($N$10)&gt;=5,(IF(S$9&gt;=$A14,(IF(DATE(P$9,Q$9,$A14)&lt;=$A$1,DATE(P$9,Q$9,$A14),0)),0)),0)</f>
        <v>43586</v>
      </c>
      <c r="O14" s="152" t="str">
        <f ca="1">IFERROR(IF(N14&gt;=1000,VLOOKUP(WEEKDAY(N14),$D$26:$F$32,2,0),""),"")</f>
        <v>Wed</v>
      </c>
      <c r="P14" s="153" t="str">
        <f ca="1">IF(N14&gt;=1000,(IF(M14&gt;=1,"",IF(M14&gt;=0,(IF(O14=$B$6,"",VLOOKUP(O14,$E$26:$F$32,2,0))),""))),"")</f>
        <v>दाल-रोटी</v>
      </c>
      <c r="Q14" s="191"/>
      <c r="R14" s="192"/>
      <c r="S14" s="193"/>
      <c r="T14" s="193"/>
      <c r="U14" s="193"/>
      <c r="V14" s="193"/>
      <c r="W14" s="193"/>
      <c r="X14" s="193"/>
      <c r="Y14" s="193"/>
      <c r="Z14" s="193"/>
      <c r="AA14" s="192"/>
      <c r="AB14" s="193"/>
      <c r="AC14" s="193"/>
      <c r="AD14" s="193"/>
      <c r="AE14" s="193"/>
      <c r="AF14" s="193"/>
      <c r="AG14" s="193"/>
      <c r="AH14" s="193"/>
      <c r="AI14" s="193"/>
      <c r="AJ14" s="193"/>
      <c r="AK14" s="194"/>
      <c r="AL14" s="154">
        <f ca="1">IFERROR(INDEX(AWAKASH!W$10:X$40,MATCH(AM14,AWAKASH!X$10:X$40,0),1),0)</f>
        <v>0</v>
      </c>
      <c r="AM14" s="155">
        <f t="shared" ref="AM14:AM44" ca="1" si="1">IF(LEN($N$10)&gt;=5,(IF(AR$9&gt;=$A14,(IF(DATE(AO$9,AP$9,$A14)&lt;=$A$1,DATE(AO$9,AP$9,$A14),0)),0)),0)</f>
        <v>43617</v>
      </c>
      <c r="AN14" s="156" t="str">
        <f ca="1">IFERROR(IF(AM14&gt;=1000,VLOOKUP(WEEKDAY(AM14),$D$26:$F$32,2,0),""),"")</f>
        <v>Sat</v>
      </c>
      <c r="AO14" s="157" t="str">
        <f ca="1">IF(AM14&gt;=1000,(IF(AL14&gt;=1,"",IF(AL14&gt;=0,(IF(AN14=$B$6,"",VLOOKUP(AN14,$E$26:$F$32,2,0))),""))),"")</f>
        <v>सब्जी-रोटी</v>
      </c>
      <c r="AP14" s="203"/>
      <c r="AQ14" s="204"/>
      <c r="AR14" s="205"/>
      <c r="AS14" s="205"/>
      <c r="AT14" s="205"/>
      <c r="AU14" s="205"/>
      <c r="AV14" s="205"/>
      <c r="AW14" s="205"/>
      <c r="AX14" s="205"/>
      <c r="AY14" s="205"/>
      <c r="AZ14" s="204"/>
      <c r="BA14" s="205"/>
      <c r="BB14" s="205"/>
      <c r="BC14" s="205"/>
      <c r="BD14" s="205"/>
      <c r="BE14" s="205"/>
      <c r="BF14" s="205"/>
      <c r="BG14" s="205"/>
      <c r="BH14" s="205"/>
      <c r="BI14" s="205"/>
      <c r="BJ14" s="206"/>
      <c r="BK14" s="154">
        <f ca="1">IFERROR(INDEX(AWAKASH!AK$10:AL$40,MATCH(BL14,AWAKASH!AL$10:AL$40,0),1),0)</f>
        <v>0</v>
      </c>
      <c r="BL14" s="158">
        <f t="shared" ref="BL14:BL44" ca="1" si="2">IF(LEN($N$10)&gt;=5,(IF(BQ$9&gt;=$A14,(IF(DATE(BN$9,BO$9,$A14)&lt;=$A$1,DATE(BN$9,BO$9,$A14),0)),0)),0)</f>
        <v>43647</v>
      </c>
      <c r="BM14" s="159" t="str">
        <f ca="1">IFERROR(IF(BL14&gt;=1000,VLOOKUP(WEEKDAY(BL14),$D$26:$F$32,2,0),""),"")</f>
        <v>Mon</v>
      </c>
      <c r="BN14" s="160" t="str">
        <f ca="1">IF(BL14&gt;=1000,(IF(BK14&gt;=1,"",IF(BK14&gt;=0,(IF(BM14=$B$6,"",VLOOKUP(BM14,$E$26:$F$32,2,0))),""))),"")</f>
        <v>सब्जी-रोटी</v>
      </c>
      <c r="BO14" s="211"/>
      <c r="BP14" s="212"/>
      <c r="BQ14" s="213"/>
      <c r="BR14" s="213"/>
      <c r="BS14" s="213"/>
      <c r="BT14" s="213"/>
      <c r="BU14" s="213"/>
      <c r="BV14" s="213"/>
      <c r="BW14" s="213"/>
      <c r="BX14" s="213"/>
      <c r="BY14" s="212"/>
      <c r="BZ14" s="213"/>
      <c r="CA14" s="213"/>
      <c r="CB14" s="213"/>
      <c r="CC14" s="213"/>
      <c r="CD14" s="213"/>
      <c r="CE14" s="213"/>
      <c r="CF14" s="213"/>
      <c r="CG14" s="213"/>
      <c r="CH14" s="213"/>
      <c r="CI14" s="214"/>
      <c r="CJ14" s="154">
        <f ca="1">IFERROR(INDEX(AWAKASH!AY$10:AZ$40,MATCH(CK14,AWAKASH!AZ$10:AZ$40,0),1),0)</f>
        <v>0</v>
      </c>
      <c r="CK14" s="161">
        <f t="shared" ref="CK14:CK44" ca="1" si="3">IF(LEN($N$10)&gt;=5,(IF(CP$9&gt;=$A14,(IF(DATE(CM$9,CN$9,$A14)&lt;=$A$1,DATE(CM$9,CN$9,$A14),0)),0)),0)</f>
        <v>43678</v>
      </c>
      <c r="CL14" s="162" t="str">
        <f ca="1">IFERROR(IF(CK14&gt;=1000,VLOOKUP(WEEKDAY(CK14),$D$26:$F$32,2,0),""),"")</f>
        <v>Thu</v>
      </c>
      <c r="CM14" s="163" t="str">
        <f ca="1">IF(CK14&gt;=1000,(IF(CJ14&gt;=1,"",IF(CJ14&gt;=0,(IF(CL14=$B$6,"",VLOOKUP(CL14,$E$26:$F$32,2,0))),""))),"")</f>
        <v>खिचड़ी-सब्जी</v>
      </c>
      <c r="CN14" s="219"/>
      <c r="CO14" s="220"/>
      <c r="CP14" s="221"/>
      <c r="CQ14" s="221"/>
      <c r="CR14" s="221"/>
      <c r="CS14" s="221"/>
      <c r="CT14" s="221"/>
      <c r="CU14" s="221"/>
      <c r="CV14" s="221"/>
      <c r="CW14" s="221"/>
      <c r="CX14" s="220"/>
      <c r="CY14" s="221"/>
      <c r="CZ14" s="221"/>
      <c r="DA14" s="221"/>
      <c r="DB14" s="221"/>
      <c r="DC14" s="221"/>
      <c r="DD14" s="221"/>
      <c r="DE14" s="221"/>
      <c r="DF14" s="221"/>
      <c r="DG14" s="221"/>
      <c r="DH14" s="222"/>
      <c r="DI14" s="154">
        <f ca="1">IFERROR(INDEX(AWAKASH!BM$10:BN$40,MATCH(DJ14,AWAKASH!BN$10:BN$40,0),1),0)</f>
        <v>0</v>
      </c>
      <c r="DJ14" s="164">
        <f t="shared" ref="DJ14:DJ44" ca="1" si="4">IF(LEN($N$10)&gt;=5,(IF(DO$9&gt;=$A14,(IF(DATE(DL$9,DM$9,$A14)&lt;=$A$1,DATE(DL$9,DM$9,$A14),0)),0)),0)</f>
        <v>43709</v>
      </c>
      <c r="DK14" s="165" t="str">
        <f ca="1">IFERROR(IF(DJ14&gt;=1000,VLOOKUP(WEEKDAY(DJ14),$D$26:$F$32,2,0),""),"")</f>
        <v>Sun</v>
      </c>
      <c r="DL14" s="166">
        <f ca="1">IF(DJ14&gt;=1000,(IF(DI14&gt;=1,"",IF(DI14&gt;=0,(IF(DK14=$B$6,"",VLOOKUP(DK14,$E$26:$F$32,2,0))),""))),"")</f>
        <v>0</v>
      </c>
      <c r="DM14" s="227"/>
      <c r="DN14" s="228"/>
      <c r="DO14" s="229"/>
      <c r="DP14" s="229"/>
      <c r="DQ14" s="229"/>
      <c r="DR14" s="229"/>
      <c r="DS14" s="229"/>
      <c r="DT14" s="229"/>
      <c r="DU14" s="229"/>
      <c r="DV14" s="229"/>
      <c r="DW14" s="228"/>
      <c r="DX14" s="229"/>
      <c r="DY14" s="229"/>
      <c r="DZ14" s="229"/>
      <c r="EA14" s="229"/>
      <c r="EB14" s="229"/>
      <c r="EC14" s="229"/>
      <c r="ED14" s="229"/>
      <c r="EE14" s="229"/>
      <c r="EF14" s="229"/>
      <c r="EG14" s="230"/>
      <c r="EH14" s="154">
        <f ca="1">IFERROR(INDEX(AWAKASH!CA$10:CB$40,MATCH(EI14,AWAKASH!CB$10:CB$40,0),1),0)</f>
        <v>0</v>
      </c>
      <c r="EI14" s="167">
        <f t="shared" ref="EI14:EI44" ca="1" si="5">IF(LEN($N$10)&gt;=5,(IF(EN$9&gt;=$A14,(IF(DATE(EK$9,EL$9,$A14)&lt;=$A$1,DATE(EK$9,EL$9,$A14),0)),0)),0)</f>
        <v>43739</v>
      </c>
      <c r="EJ14" s="168" t="str">
        <f ca="1">IFERROR(IF(EI14&gt;=1000,VLOOKUP(WEEKDAY(EI14),$D$26:$F$32,2,0),""),"")</f>
        <v>Tue</v>
      </c>
      <c r="EK14" s="169" t="str">
        <f ca="1">IF(EI14&gt;=1000,(IF(EH14&gt;=1,"",IF(EH14&gt;=0,(IF(EJ14=$B$6,"",VLOOKUP(EJ14,$E$26:$F$32,2,0))),""))),"")</f>
        <v>दाल-चावल</v>
      </c>
      <c r="EL14" s="235"/>
      <c r="EM14" s="236"/>
      <c r="EN14" s="237"/>
      <c r="EO14" s="237"/>
      <c r="EP14" s="237"/>
      <c r="EQ14" s="237"/>
      <c r="ER14" s="237"/>
      <c r="ES14" s="237"/>
      <c r="ET14" s="237"/>
      <c r="EU14" s="237"/>
      <c r="EV14" s="236"/>
      <c r="EW14" s="237"/>
      <c r="EX14" s="237"/>
      <c r="EY14" s="237"/>
      <c r="EZ14" s="237"/>
      <c r="FA14" s="237"/>
      <c r="FB14" s="237"/>
      <c r="FC14" s="237"/>
      <c r="FD14" s="237"/>
      <c r="FE14" s="237"/>
      <c r="FF14" s="238"/>
      <c r="FG14" s="46">
        <f ca="1">IFERROR(INDEX(AWAKASH!FC$10:FD$40,MATCH(FH14,AWAKASH!FD$10:FD$40,0),1),0)</f>
        <v>0</v>
      </c>
      <c r="FH14" s="151">
        <f t="shared" ref="FH14:FH44" ca="1" si="6">IF(LEN($N$10)&gt;=5,(IF(FM$9&gt;=$A14,(IF(DATE(FJ$9,FK$9,$A14)&lt;=$A$1,DATE(FJ$9,FK$9,$A14),0)),0)),0)</f>
        <v>43770</v>
      </c>
      <c r="FI14" s="152" t="str">
        <f ca="1">IFERROR(IF(FH14&gt;=1000,VLOOKUP(WEEKDAY(FH14),$D$26:$F$32,2,0),""),"")</f>
        <v>Fri</v>
      </c>
      <c r="FJ14" s="153" t="str">
        <f ca="1">IF(FH14&gt;=1000,(IF(FG14&gt;=1,"",IF(FG14&gt;=0,(IF(FI14=$B$6,"",VLOOKUP(FI14,$E$26:$F$32,2,0))),""))),"")</f>
        <v>दाल-रोटी</v>
      </c>
      <c r="FK14" s="191"/>
      <c r="FL14" s="192"/>
      <c r="FM14" s="193"/>
      <c r="FN14" s="193"/>
      <c r="FO14" s="193"/>
      <c r="FP14" s="193"/>
      <c r="FQ14" s="193"/>
      <c r="FR14" s="193"/>
      <c r="FS14" s="193"/>
      <c r="FT14" s="193"/>
      <c r="FU14" s="192"/>
      <c r="FV14" s="193"/>
      <c r="FW14" s="193"/>
      <c r="FX14" s="193"/>
      <c r="FY14" s="193"/>
      <c r="FZ14" s="193"/>
      <c r="GA14" s="193"/>
      <c r="GB14" s="193"/>
      <c r="GC14" s="193"/>
      <c r="GD14" s="193"/>
      <c r="GE14" s="194"/>
      <c r="GF14" s="154">
        <f ca="1">IFERROR(INDEX(AWAKASH!FQ$10:FR$40,MATCH(GG14,AWAKASH!FR$10:FR$40,0),1),0)</f>
        <v>0</v>
      </c>
      <c r="GG14" s="155">
        <f t="shared" ref="GG14:GG44" ca="1" si="7">IF(LEN($N$10)&gt;=5,(IF(GL$9&gt;=$A14,(IF(DATE(GI$9,GJ$9,$A14)&lt;=$A$1,DATE(GI$9,GJ$9,$A14),0)),0)),0)</f>
        <v>43800</v>
      </c>
      <c r="GH14" s="156" t="str">
        <f ca="1">IFERROR(IF(GG14&gt;=1000,VLOOKUP(WEEKDAY(GG14),$D$26:$F$32,2,0),""),"")</f>
        <v>Sun</v>
      </c>
      <c r="GI14" s="157">
        <f ca="1">IF(GG14&gt;=1000,(IF(GF14&gt;=1,"",IF(GF14&gt;=0,(IF(GH14=$B$6,"",VLOOKUP(GH14,$E$26:$F$32,2,0))),""))),"")</f>
        <v>0</v>
      </c>
      <c r="GJ14" s="203"/>
      <c r="GK14" s="204"/>
      <c r="GL14" s="205"/>
      <c r="GM14" s="205"/>
      <c r="GN14" s="205"/>
      <c r="GO14" s="205"/>
      <c r="GP14" s="205"/>
      <c r="GQ14" s="205"/>
      <c r="GR14" s="205"/>
      <c r="GS14" s="205"/>
      <c r="GT14" s="204"/>
      <c r="GU14" s="205"/>
      <c r="GV14" s="205"/>
      <c r="GW14" s="205"/>
      <c r="GX14" s="205"/>
      <c r="GY14" s="205"/>
      <c r="GZ14" s="205"/>
      <c r="HA14" s="205"/>
      <c r="HB14" s="205"/>
      <c r="HC14" s="205"/>
      <c r="HD14" s="206"/>
      <c r="HE14" s="154">
        <f ca="1">IFERROR(INDEX(AWAKASH!GE$10:GF$40,MATCH(HF14,AWAKASH!GF$10:GF$40,0),1),0)</f>
        <v>0</v>
      </c>
      <c r="HF14" s="158">
        <f t="shared" ref="HF14:HF44" ca="1" si="8">IF(LEN($N$10)&gt;=5,(IF(HK$9&gt;=$A14,(IF(DATE(HH$9,HI$9,$A14)&lt;=$A$1,DATE(HH$9,HI$9,$A14),0)),0)),0)</f>
        <v>43831</v>
      </c>
      <c r="HG14" s="159" t="str">
        <f ca="1">IFERROR(IF(HF14&gt;=1000,VLOOKUP(WEEKDAY(HF14),$D$26:$F$32,2,0),""),"")</f>
        <v>Wed</v>
      </c>
      <c r="HH14" s="160" t="str">
        <f ca="1">IF(HF14&gt;=1000,(IF(HE14&gt;=1,"",IF(HE14&gt;=0,(IF(HG14=$B$6,"",VLOOKUP(HG14,$E$26:$F$32,2,0))),""))),"")</f>
        <v>दाल-रोटी</v>
      </c>
      <c r="HI14" s="211"/>
      <c r="HJ14" s="212"/>
      <c r="HK14" s="213"/>
      <c r="HL14" s="213"/>
      <c r="HM14" s="213"/>
      <c r="HN14" s="213"/>
      <c r="HO14" s="213"/>
      <c r="HP14" s="213"/>
      <c r="HQ14" s="213"/>
      <c r="HR14" s="213"/>
      <c r="HS14" s="212"/>
      <c r="HT14" s="213"/>
      <c r="HU14" s="213"/>
      <c r="HV14" s="213"/>
      <c r="HW14" s="213"/>
      <c r="HX14" s="213"/>
      <c r="HY14" s="213"/>
      <c r="HZ14" s="213"/>
      <c r="IA14" s="213"/>
      <c r="IB14" s="213"/>
      <c r="IC14" s="214"/>
      <c r="ID14" s="154">
        <f ca="1">IFERROR(INDEX(AWAKASH!GS$10:GT$40,MATCH(IE14,AWAKASH!GT$10:GT$40,0),1),0)</f>
        <v>0</v>
      </c>
      <c r="IE14" s="161">
        <f t="shared" ref="IE14:IE44" ca="1" si="9">IF(LEN($N$10)&gt;=5,(IF(IJ$9&gt;=$A14,(IF(DATE(IG$9,IH$9,$A14)&lt;=$A$1,DATE(IG$9,IH$9,$A14),0)),0)),0)</f>
        <v>0</v>
      </c>
      <c r="IF14" s="162" t="str">
        <f ca="1">IFERROR(IF(IE14&gt;=1000,VLOOKUP(WEEKDAY(IE14),$D$26:$F$32,2,0),""),"")</f>
        <v/>
      </c>
      <c r="IG14" s="163" t="str">
        <f ca="1">IF(IE14&gt;=1000,(IF(ID14&gt;=1,"",IF(ID14&gt;=0,(IF(IF14=$B$6,"",VLOOKUP(IF14,$E$26:$F$32,2,0))),""))),"")</f>
        <v/>
      </c>
      <c r="IH14" s="219"/>
      <c r="II14" s="220"/>
      <c r="IJ14" s="221"/>
      <c r="IK14" s="221"/>
      <c r="IL14" s="221"/>
      <c r="IM14" s="221"/>
      <c r="IN14" s="221"/>
      <c r="IO14" s="221"/>
      <c r="IP14" s="221"/>
      <c r="IQ14" s="221"/>
      <c r="IR14" s="220"/>
      <c r="IS14" s="221"/>
      <c r="IT14" s="221"/>
      <c r="IU14" s="221"/>
      <c r="IV14" s="221"/>
      <c r="IW14" s="221"/>
      <c r="IX14" s="221"/>
      <c r="IY14" s="221"/>
      <c r="IZ14" s="221"/>
      <c r="JA14" s="221"/>
      <c r="JB14" s="222"/>
      <c r="JC14" s="154">
        <f ca="1">IFERROR(INDEX(AWAKASH!HG$10:HH$40,MATCH(JD14,AWAKASH!HH$10:HH$40,0),1),0)</f>
        <v>0</v>
      </c>
      <c r="JD14" s="164">
        <f t="shared" ref="JD14:JD44" ca="1" si="10">IF(LEN($N$10)&gt;=5,(IF(JI$9&gt;=$A14,(IF(DATE(JF$9,JG$9,$A14)&lt;=$A$1,DATE(JF$9,JG$9,$A14),0)),0)),0)</f>
        <v>0</v>
      </c>
      <c r="JE14" s="165" t="str">
        <f ca="1">IFERROR(IF(JD14&gt;=1000,VLOOKUP(WEEKDAY(JD14),$D$26:$F$32,2,0),""),"")</f>
        <v/>
      </c>
      <c r="JF14" s="166" t="str">
        <f ca="1">IF(JD14&gt;=1000,(IF(JC14&gt;=1,"",IF(JC14&gt;=0,(IF(JE14=$B$6,"",VLOOKUP(JE14,$E$26:$F$32,2,0))),""))),"")</f>
        <v/>
      </c>
      <c r="JG14" s="227"/>
      <c r="JH14" s="228"/>
      <c r="JI14" s="229"/>
      <c r="JJ14" s="229"/>
      <c r="JK14" s="229"/>
      <c r="JL14" s="229"/>
      <c r="JM14" s="229"/>
      <c r="JN14" s="229"/>
      <c r="JO14" s="229"/>
      <c r="JP14" s="229"/>
      <c r="JQ14" s="228"/>
      <c r="JR14" s="229"/>
      <c r="JS14" s="229"/>
      <c r="JT14" s="229"/>
      <c r="JU14" s="229"/>
      <c r="JV14" s="229"/>
      <c r="JW14" s="229"/>
      <c r="JX14" s="229"/>
      <c r="JY14" s="229"/>
      <c r="JZ14" s="229"/>
      <c r="KA14" s="230"/>
      <c r="KB14" s="154">
        <f ca="1">IFERROR(INDEX(AWAKASH!HU$10:HV$40,MATCH(KC14,AWAKASH!HV$10:HV$40,0),1),0)</f>
        <v>0</v>
      </c>
      <c r="KC14" s="167">
        <f t="shared" ref="KC14:KC44" ca="1" si="11">IF(LEN($N$10)&gt;=5,(IF(KH$9&gt;=$A14,(IF(DATE(KE$9,KF$9,$A14)&lt;=$A$1,DATE(KE$9,KF$9,$A14),0)),0)),0)</f>
        <v>0</v>
      </c>
      <c r="KD14" s="168" t="str">
        <f ca="1">IFERROR(IF(KC14&gt;=1000,VLOOKUP(WEEKDAY(KC14),$D$26:$F$32,2,0),""),"")</f>
        <v/>
      </c>
      <c r="KE14" s="169" t="str">
        <f ca="1">IF(KC14&gt;=1000,(IF(KB14&gt;=1,"",IF(KB14&gt;=0,(IF(KD14=$B$6,"",VLOOKUP(KD14,$E$26:$F$32,2,0))),""))),"")</f>
        <v/>
      </c>
      <c r="KF14" s="235"/>
      <c r="KG14" s="236"/>
      <c r="KH14" s="237"/>
      <c r="KI14" s="237"/>
      <c r="KJ14" s="237"/>
      <c r="KK14" s="237"/>
      <c r="KL14" s="237"/>
      <c r="KM14" s="237"/>
      <c r="KN14" s="237"/>
      <c r="KO14" s="237"/>
      <c r="KP14" s="236"/>
      <c r="KQ14" s="237"/>
      <c r="KR14" s="237"/>
      <c r="KS14" s="237"/>
      <c r="KT14" s="237"/>
      <c r="KU14" s="237"/>
      <c r="KV14" s="237"/>
      <c r="KW14" s="237"/>
      <c r="KX14" s="237"/>
      <c r="KY14" s="237"/>
      <c r="KZ14" s="238"/>
      <c r="LA14" s="46"/>
    </row>
    <row r="15" spans="1:313" ht="20.100000000000001" customHeight="1" x14ac:dyDescent="0.25">
      <c r="A15" s="3">
        <v>2</v>
      </c>
      <c r="B15" s="3" t="str">
        <f>HOME!H8</f>
        <v>जून</v>
      </c>
      <c r="C15" s="3">
        <f>HOME!I8</f>
        <v>2019</v>
      </c>
      <c r="D15" s="3">
        <f t="shared" ref="D15:D25" si="12">IF(LEN(B15)&gt;=2,VLOOKUP(B15,$E$14:$F$25,2,0),0)</f>
        <v>6</v>
      </c>
      <c r="E15" s="3" t="s">
        <v>139</v>
      </c>
      <c r="F15" s="3">
        <v>2</v>
      </c>
      <c r="M15" s="46">
        <f ca="1">IFERROR(INDEX(AWAKASH!I$10:J$40,MATCH(N15,AWAKASH!J$10:J$40,0),1),0)</f>
        <v>0</v>
      </c>
      <c r="N15" s="170">
        <f t="shared" ca="1" si="0"/>
        <v>43587</v>
      </c>
      <c r="O15" s="171" t="str">
        <f t="shared" ref="O15:O44" ca="1" si="13">IFERROR(IF(N15&gt;=1000,VLOOKUP(WEEKDAY(N15),$D$26:$F$32,2,0),""),"")</f>
        <v>Thu</v>
      </c>
      <c r="P15" s="172" t="str">
        <f t="shared" ref="P15:P44" ca="1" si="14">IF(N15&gt;=1000,(IF(M15&gt;=1,"",IF(M15&gt;=0,(IF(O15=$B$6,"",VLOOKUP(O15,$E$26:$F$32,2,0))),""))),"")</f>
        <v>खिचड़ी-सब्जी</v>
      </c>
      <c r="Q15" s="195"/>
      <c r="R15" s="196"/>
      <c r="S15" s="193"/>
      <c r="T15" s="197"/>
      <c r="U15" s="197"/>
      <c r="V15" s="197"/>
      <c r="W15" s="197"/>
      <c r="X15" s="197"/>
      <c r="Y15" s="197"/>
      <c r="Z15" s="197"/>
      <c r="AA15" s="196"/>
      <c r="AB15" s="197"/>
      <c r="AC15" s="197"/>
      <c r="AD15" s="197"/>
      <c r="AE15" s="197"/>
      <c r="AF15" s="197"/>
      <c r="AG15" s="197"/>
      <c r="AH15" s="197"/>
      <c r="AI15" s="197"/>
      <c r="AJ15" s="197"/>
      <c r="AK15" s="198"/>
      <c r="AL15" s="154">
        <f ca="1">IFERROR(INDEX(AWAKASH!W$10:X$40,MATCH(AM15,AWAKASH!X$10:X$40,0),1),0)</f>
        <v>0</v>
      </c>
      <c r="AM15" s="155">
        <f t="shared" ca="1" si="1"/>
        <v>43618</v>
      </c>
      <c r="AN15" s="156" t="str">
        <f t="shared" ref="AN15:AN44" ca="1" si="15">IFERROR(IF(AM15&gt;=1000,VLOOKUP(WEEKDAY(AM15),$D$26:$F$32,2,0),""),"")</f>
        <v>Sun</v>
      </c>
      <c r="AO15" s="157">
        <f t="shared" ref="AO15:AO44" ca="1" si="16">IF(AM15&gt;=1000,(IF(AL15&gt;=1,"",IF(AL15&gt;=0,(IF(AN15=$B$6,"",VLOOKUP(AN15,$E$26:$F$32,2,0))),""))),"")</f>
        <v>0</v>
      </c>
      <c r="AP15" s="203"/>
      <c r="AQ15" s="204"/>
      <c r="AR15" s="205"/>
      <c r="AS15" s="205"/>
      <c r="AT15" s="205"/>
      <c r="AU15" s="205"/>
      <c r="AV15" s="205"/>
      <c r="AW15" s="205"/>
      <c r="AX15" s="205"/>
      <c r="AY15" s="205"/>
      <c r="AZ15" s="204"/>
      <c r="BA15" s="205"/>
      <c r="BB15" s="205"/>
      <c r="BC15" s="205"/>
      <c r="BD15" s="205"/>
      <c r="BE15" s="205"/>
      <c r="BF15" s="205"/>
      <c r="BG15" s="205"/>
      <c r="BH15" s="205"/>
      <c r="BI15" s="205"/>
      <c r="BJ15" s="206"/>
      <c r="BK15" s="154">
        <f ca="1">IFERROR(INDEX(AWAKASH!AK$10:AL$40,MATCH(BL15,AWAKASH!AL$10:AL$40,0),1),0)</f>
        <v>0</v>
      </c>
      <c r="BL15" s="158">
        <f t="shared" ca="1" si="2"/>
        <v>43648</v>
      </c>
      <c r="BM15" s="159" t="str">
        <f t="shared" ref="BM15:BM44" ca="1" si="17">IFERROR(IF(BL15&gt;=1000,VLOOKUP(WEEKDAY(BL15),$D$26:$F$32,2,0),""),"")</f>
        <v>Tue</v>
      </c>
      <c r="BN15" s="160" t="str">
        <f t="shared" ref="BN15:BN44" ca="1" si="18">IF(BL15&gt;=1000,(IF(BK15&gt;=1,"",IF(BK15&gt;=0,(IF(BM15=$B$6,"",VLOOKUP(BM15,$E$26:$F$32,2,0))),""))),"")</f>
        <v>दाल-चावल</v>
      </c>
      <c r="BO15" s="211"/>
      <c r="BP15" s="212"/>
      <c r="BQ15" s="213"/>
      <c r="BR15" s="213"/>
      <c r="BS15" s="213"/>
      <c r="BT15" s="213"/>
      <c r="BU15" s="213"/>
      <c r="BV15" s="213"/>
      <c r="BW15" s="213"/>
      <c r="BX15" s="213"/>
      <c r="BY15" s="212"/>
      <c r="BZ15" s="213"/>
      <c r="CA15" s="213"/>
      <c r="CB15" s="213"/>
      <c r="CC15" s="213"/>
      <c r="CD15" s="213"/>
      <c r="CE15" s="213"/>
      <c r="CF15" s="213"/>
      <c r="CG15" s="213"/>
      <c r="CH15" s="213"/>
      <c r="CI15" s="214"/>
      <c r="CJ15" s="154">
        <f ca="1">IFERROR(INDEX(AWAKASH!AY$10:AZ$40,MATCH(CK15,AWAKASH!AZ$10:AZ$40,0),1),0)</f>
        <v>0</v>
      </c>
      <c r="CK15" s="161">
        <f t="shared" ca="1" si="3"/>
        <v>43679</v>
      </c>
      <c r="CL15" s="162" t="str">
        <f t="shared" ref="CL15:CL44" ca="1" si="19">IFERROR(IF(CK15&gt;=1000,VLOOKUP(WEEKDAY(CK15),$D$26:$F$32,2,0),""),"")</f>
        <v>Fri</v>
      </c>
      <c r="CM15" s="163" t="str">
        <f t="shared" ref="CM15:CM44" ca="1" si="20">IF(CK15&gt;=1000,(IF(CJ15&gt;=1,"",IF(CJ15&gt;=0,(IF(CL15=$B$6,"",VLOOKUP(CL15,$E$26:$F$32,2,0))),""))),"")</f>
        <v>दाल-रोटी</v>
      </c>
      <c r="CN15" s="219"/>
      <c r="CO15" s="220"/>
      <c r="CP15" s="221"/>
      <c r="CQ15" s="221"/>
      <c r="CR15" s="221"/>
      <c r="CS15" s="221"/>
      <c r="CT15" s="221"/>
      <c r="CU15" s="221"/>
      <c r="CV15" s="221"/>
      <c r="CW15" s="221"/>
      <c r="CX15" s="220"/>
      <c r="CY15" s="221"/>
      <c r="CZ15" s="221"/>
      <c r="DA15" s="221"/>
      <c r="DB15" s="221"/>
      <c r="DC15" s="221"/>
      <c r="DD15" s="221"/>
      <c r="DE15" s="221"/>
      <c r="DF15" s="221"/>
      <c r="DG15" s="221"/>
      <c r="DH15" s="222"/>
      <c r="DI15" s="154">
        <f ca="1">IFERROR(INDEX(AWAKASH!BM$10:BN$40,MATCH(DJ15,AWAKASH!BN$10:BN$40,0),1),0)</f>
        <v>0</v>
      </c>
      <c r="DJ15" s="164">
        <f t="shared" ca="1" si="4"/>
        <v>43710</v>
      </c>
      <c r="DK15" s="165" t="str">
        <f t="shared" ref="DK15:DK44" ca="1" si="21">IFERROR(IF(DJ15&gt;=1000,VLOOKUP(WEEKDAY(DJ15),$D$26:$F$32,2,0),""),"")</f>
        <v>Mon</v>
      </c>
      <c r="DL15" s="166" t="str">
        <f t="shared" ref="DL15:DL44" ca="1" si="22">IF(DJ15&gt;=1000,(IF(DI15&gt;=1,"",IF(DI15&gt;=0,(IF(DK15=$B$6,"",VLOOKUP(DK15,$E$26:$F$32,2,0))),""))),"")</f>
        <v>सब्जी-रोटी</v>
      </c>
      <c r="DM15" s="227"/>
      <c r="DN15" s="228"/>
      <c r="DO15" s="229"/>
      <c r="DP15" s="229"/>
      <c r="DQ15" s="229"/>
      <c r="DR15" s="229"/>
      <c r="DS15" s="229"/>
      <c r="DT15" s="229"/>
      <c r="DU15" s="229"/>
      <c r="DV15" s="229"/>
      <c r="DW15" s="228"/>
      <c r="DX15" s="229"/>
      <c r="DY15" s="229"/>
      <c r="DZ15" s="229"/>
      <c r="EA15" s="229"/>
      <c r="EB15" s="229"/>
      <c r="EC15" s="229"/>
      <c r="ED15" s="229"/>
      <c r="EE15" s="229"/>
      <c r="EF15" s="229"/>
      <c r="EG15" s="230"/>
      <c r="EH15" s="154">
        <f ca="1">IFERROR(INDEX(AWAKASH!CA$10:CB$40,MATCH(EI15,AWAKASH!CB$10:CB$40,0),1),0)</f>
        <v>0</v>
      </c>
      <c r="EI15" s="167">
        <f t="shared" ca="1" si="5"/>
        <v>43740</v>
      </c>
      <c r="EJ15" s="168" t="str">
        <f t="shared" ref="EJ15:EJ44" ca="1" si="23">IFERROR(IF(EI15&gt;=1000,VLOOKUP(WEEKDAY(EI15),$D$26:$F$32,2,0),""),"")</f>
        <v>Wed</v>
      </c>
      <c r="EK15" s="169" t="str">
        <f t="shared" ref="EK15:EK44" ca="1" si="24">IF(EI15&gt;=1000,(IF(EH15&gt;=1,"",IF(EH15&gt;=0,(IF(EJ15=$B$6,"",VLOOKUP(EJ15,$E$26:$F$32,2,0))),""))),"")</f>
        <v>दाल-रोटी</v>
      </c>
      <c r="EL15" s="235"/>
      <c r="EM15" s="236"/>
      <c r="EN15" s="237"/>
      <c r="EO15" s="237"/>
      <c r="EP15" s="237"/>
      <c r="EQ15" s="237"/>
      <c r="ER15" s="237"/>
      <c r="ES15" s="237"/>
      <c r="ET15" s="237"/>
      <c r="EU15" s="237"/>
      <c r="EV15" s="236"/>
      <c r="EW15" s="237"/>
      <c r="EX15" s="237"/>
      <c r="EY15" s="237"/>
      <c r="EZ15" s="237"/>
      <c r="FA15" s="237"/>
      <c r="FB15" s="237"/>
      <c r="FC15" s="237"/>
      <c r="FD15" s="237"/>
      <c r="FE15" s="237"/>
      <c r="FF15" s="238"/>
      <c r="FG15" s="46">
        <f ca="1">IFERROR(INDEX(AWAKASH!FC$10:FD$40,MATCH(FH15,AWAKASH!FD$10:FD$40,0),1),0)</f>
        <v>0</v>
      </c>
      <c r="FH15" s="170">
        <f t="shared" ca="1" si="6"/>
        <v>43771</v>
      </c>
      <c r="FI15" s="171" t="str">
        <f t="shared" ref="FI15:FI44" ca="1" si="25">IFERROR(IF(FH15&gt;=1000,VLOOKUP(WEEKDAY(FH15),$D$26:$F$32,2,0),""),"")</f>
        <v>Sat</v>
      </c>
      <c r="FJ15" s="172" t="str">
        <f t="shared" ref="FJ15:FJ44" ca="1" si="26">IF(FH15&gt;=1000,(IF(FG15&gt;=1,"",IF(FG15&gt;=0,(IF(FI15=$B$6,"",VLOOKUP(FI15,$E$26:$F$32,2,0))),""))),"")</f>
        <v>सब्जी-रोटी</v>
      </c>
      <c r="FK15" s="195"/>
      <c r="FL15" s="196"/>
      <c r="FM15" s="197"/>
      <c r="FN15" s="197"/>
      <c r="FO15" s="197"/>
      <c r="FP15" s="197"/>
      <c r="FQ15" s="197"/>
      <c r="FR15" s="197"/>
      <c r="FS15" s="197"/>
      <c r="FT15" s="197"/>
      <c r="FU15" s="196"/>
      <c r="FV15" s="197"/>
      <c r="FW15" s="197"/>
      <c r="FX15" s="197"/>
      <c r="FY15" s="197"/>
      <c r="FZ15" s="197"/>
      <c r="GA15" s="197"/>
      <c r="GB15" s="197"/>
      <c r="GC15" s="197"/>
      <c r="GD15" s="197"/>
      <c r="GE15" s="198"/>
      <c r="GF15" s="154">
        <f ca="1">IFERROR(INDEX(AWAKASH!FQ$10:FR$40,MATCH(GG15,AWAKASH!FR$10:FR$40,0),1),0)</f>
        <v>0</v>
      </c>
      <c r="GG15" s="155">
        <f t="shared" ca="1" si="7"/>
        <v>43801</v>
      </c>
      <c r="GH15" s="156" t="str">
        <f t="shared" ref="GH15:GH44" ca="1" si="27">IFERROR(IF(GG15&gt;=1000,VLOOKUP(WEEKDAY(GG15),$D$26:$F$32,2,0),""),"")</f>
        <v>Mon</v>
      </c>
      <c r="GI15" s="157" t="str">
        <f t="shared" ref="GI15:GI44" ca="1" si="28">IF(GG15&gt;=1000,(IF(GF15&gt;=1,"",IF(GF15&gt;=0,(IF(GH15=$B$6,"",VLOOKUP(GH15,$E$26:$F$32,2,0))),""))),"")</f>
        <v>सब्जी-रोटी</v>
      </c>
      <c r="GJ15" s="203"/>
      <c r="GK15" s="204"/>
      <c r="GL15" s="205"/>
      <c r="GM15" s="205"/>
      <c r="GN15" s="205"/>
      <c r="GO15" s="205"/>
      <c r="GP15" s="205"/>
      <c r="GQ15" s="205"/>
      <c r="GR15" s="205"/>
      <c r="GS15" s="205"/>
      <c r="GT15" s="204"/>
      <c r="GU15" s="205"/>
      <c r="GV15" s="205"/>
      <c r="GW15" s="205"/>
      <c r="GX15" s="205"/>
      <c r="GY15" s="205"/>
      <c r="GZ15" s="205"/>
      <c r="HA15" s="205"/>
      <c r="HB15" s="205"/>
      <c r="HC15" s="205"/>
      <c r="HD15" s="206"/>
      <c r="HE15" s="154">
        <f ca="1">IFERROR(INDEX(AWAKASH!GE$10:GF$40,MATCH(HF15,AWAKASH!GF$10:GF$40,0),1),0)</f>
        <v>0</v>
      </c>
      <c r="HF15" s="158">
        <f t="shared" ca="1" si="8"/>
        <v>43832</v>
      </c>
      <c r="HG15" s="159" t="str">
        <f t="shared" ref="HG15:HG44" ca="1" si="29">IFERROR(IF(HF15&gt;=1000,VLOOKUP(WEEKDAY(HF15),$D$26:$F$32,2,0),""),"")</f>
        <v>Thu</v>
      </c>
      <c r="HH15" s="160" t="str">
        <f t="shared" ref="HH15:HH44" ca="1" si="30">IF(HF15&gt;=1000,(IF(HE15&gt;=1,"",IF(HE15&gt;=0,(IF(HG15=$B$6,"",VLOOKUP(HG15,$E$26:$F$32,2,0))),""))),"")</f>
        <v>खिचड़ी-सब्जी</v>
      </c>
      <c r="HI15" s="211"/>
      <c r="HJ15" s="212"/>
      <c r="HK15" s="213"/>
      <c r="HL15" s="213"/>
      <c r="HM15" s="213"/>
      <c r="HN15" s="213"/>
      <c r="HO15" s="213"/>
      <c r="HP15" s="213"/>
      <c r="HQ15" s="213"/>
      <c r="HR15" s="213"/>
      <c r="HS15" s="212"/>
      <c r="HT15" s="213"/>
      <c r="HU15" s="213"/>
      <c r="HV15" s="213"/>
      <c r="HW15" s="213"/>
      <c r="HX15" s="213"/>
      <c r="HY15" s="213"/>
      <c r="HZ15" s="213"/>
      <c r="IA15" s="213"/>
      <c r="IB15" s="213"/>
      <c r="IC15" s="214"/>
      <c r="ID15" s="154">
        <f ca="1">IFERROR(INDEX(AWAKASH!GS$10:GT$40,MATCH(IE15,AWAKASH!GT$10:GT$40,0),1),0)</f>
        <v>0</v>
      </c>
      <c r="IE15" s="161">
        <f t="shared" ca="1" si="9"/>
        <v>0</v>
      </c>
      <c r="IF15" s="162" t="str">
        <f t="shared" ref="IF15:IF44" ca="1" si="31">IFERROR(IF(IE15&gt;=1000,VLOOKUP(WEEKDAY(IE15),$D$26:$F$32,2,0),""),"")</f>
        <v/>
      </c>
      <c r="IG15" s="163" t="str">
        <f t="shared" ref="IG15:IG44" ca="1" si="32">IF(IE15&gt;=1000,(IF(ID15&gt;=1,"",IF(ID15&gt;=0,(IF(IF15=$B$6,"",VLOOKUP(IF15,$E$26:$F$32,2,0))),""))),"")</f>
        <v/>
      </c>
      <c r="IH15" s="219"/>
      <c r="II15" s="220"/>
      <c r="IJ15" s="221"/>
      <c r="IK15" s="221"/>
      <c r="IL15" s="221"/>
      <c r="IM15" s="221"/>
      <c r="IN15" s="221"/>
      <c r="IO15" s="221"/>
      <c r="IP15" s="221"/>
      <c r="IQ15" s="221"/>
      <c r="IR15" s="220"/>
      <c r="IS15" s="221"/>
      <c r="IT15" s="221"/>
      <c r="IU15" s="221"/>
      <c r="IV15" s="221"/>
      <c r="IW15" s="221"/>
      <c r="IX15" s="221"/>
      <c r="IY15" s="221"/>
      <c r="IZ15" s="221"/>
      <c r="JA15" s="221"/>
      <c r="JB15" s="222"/>
      <c r="JC15" s="154">
        <f ca="1">IFERROR(INDEX(AWAKASH!HG$10:HH$40,MATCH(JD15,AWAKASH!HH$10:HH$40,0),1),0)</f>
        <v>0</v>
      </c>
      <c r="JD15" s="164">
        <f t="shared" ca="1" si="10"/>
        <v>0</v>
      </c>
      <c r="JE15" s="165" t="str">
        <f t="shared" ref="JE15:JE44" ca="1" si="33">IFERROR(IF(JD15&gt;=1000,VLOOKUP(WEEKDAY(JD15),$D$26:$F$32,2,0),""),"")</f>
        <v/>
      </c>
      <c r="JF15" s="166" t="str">
        <f t="shared" ref="JF15:JF44" ca="1" si="34">IF(JD15&gt;=1000,(IF(JC15&gt;=1,"",IF(JC15&gt;=0,(IF(JE15=$B$6,"",VLOOKUP(JE15,$E$26:$F$32,2,0))),""))),"")</f>
        <v/>
      </c>
      <c r="JG15" s="227"/>
      <c r="JH15" s="228"/>
      <c r="JI15" s="229"/>
      <c r="JJ15" s="229"/>
      <c r="JK15" s="229"/>
      <c r="JL15" s="229"/>
      <c r="JM15" s="229"/>
      <c r="JN15" s="229"/>
      <c r="JO15" s="229"/>
      <c r="JP15" s="229"/>
      <c r="JQ15" s="228"/>
      <c r="JR15" s="229"/>
      <c r="JS15" s="229"/>
      <c r="JT15" s="229"/>
      <c r="JU15" s="229"/>
      <c r="JV15" s="229"/>
      <c r="JW15" s="229"/>
      <c r="JX15" s="229"/>
      <c r="JY15" s="229"/>
      <c r="JZ15" s="229"/>
      <c r="KA15" s="230"/>
      <c r="KB15" s="154">
        <f ca="1">IFERROR(INDEX(AWAKASH!HU$10:HV$40,MATCH(KC15,AWAKASH!HV$10:HV$40,0),1),0)</f>
        <v>0</v>
      </c>
      <c r="KC15" s="167">
        <f t="shared" ca="1" si="11"/>
        <v>0</v>
      </c>
      <c r="KD15" s="168" t="str">
        <f t="shared" ref="KD15:KD44" ca="1" si="35">IFERROR(IF(KC15&gt;=1000,VLOOKUP(WEEKDAY(KC15),$D$26:$F$32,2,0),""),"")</f>
        <v/>
      </c>
      <c r="KE15" s="169" t="str">
        <f t="shared" ref="KE15:KE44" ca="1" si="36">IF(KC15&gt;=1000,(IF(KB15&gt;=1,"",IF(KB15&gt;=0,(IF(KD15=$B$6,"",VLOOKUP(KD15,$E$26:$F$32,2,0))),""))),"")</f>
        <v/>
      </c>
      <c r="KF15" s="235"/>
      <c r="KG15" s="236"/>
      <c r="KH15" s="237"/>
      <c r="KI15" s="237"/>
      <c r="KJ15" s="237"/>
      <c r="KK15" s="237"/>
      <c r="KL15" s="237"/>
      <c r="KM15" s="237"/>
      <c r="KN15" s="237"/>
      <c r="KO15" s="237"/>
      <c r="KP15" s="236"/>
      <c r="KQ15" s="237"/>
      <c r="KR15" s="237"/>
      <c r="KS15" s="237"/>
      <c r="KT15" s="237"/>
      <c r="KU15" s="237"/>
      <c r="KV15" s="237"/>
      <c r="KW15" s="237"/>
      <c r="KX15" s="237"/>
      <c r="KY15" s="237"/>
      <c r="KZ15" s="238"/>
      <c r="LA15" s="46"/>
    </row>
    <row r="16" spans="1:313" ht="20.100000000000001" customHeight="1" x14ac:dyDescent="0.25">
      <c r="A16" s="3">
        <v>3</v>
      </c>
      <c r="B16" s="3" t="str">
        <f>HOME!H9</f>
        <v>जुलाई</v>
      </c>
      <c r="C16" s="3">
        <f>HOME!I9</f>
        <v>2019</v>
      </c>
      <c r="D16" s="3">
        <f t="shared" si="12"/>
        <v>7</v>
      </c>
      <c r="E16" s="3" t="s">
        <v>140</v>
      </c>
      <c r="F16" s="3">
        <v>3</v>
      </c>
      <c r="M16" s="46">
        <f ca="1">IFERROR(INDEX(AWAKASH!I$10:J$40,MATCH(N16,AWAKASH!J$10:J$40,0),1),0)</f>
        <v>0</v>
      </c>
      <c r="N16" s="170">
        <f t="shared" ca="1" si="0"/>
        <v>43588</v>
      </c>
      <c r="O16" s="171" t="str">
        <f t="shared" ca="1" si="13"/>
        <v>Fri</v>
      </c>
      <c r="P16" s="172" t="str">
        <f t="shared" ca="1" si="14"/>
        <v>दाल-रोटी</v>
      </c>
      <c r="Q16" s="195"/>
      <c r="R16" s="196"/>
      <c r="S16" s="193"/>
      <c r="T16" s="197"/>
      <c r="U16" s="197"/>
      <c r="V16" s="197"/>
      <c r="W16" s="197"/>
      <c r="X16" s="197"/>
      <c r="Y16" s="197"/>
      <c r="Z16" s="197"/>
      <c r="AA16" s="196"/>
      <c r="AB16" s="197"/>
      <c r="AC16" s="197"/>
      <c r="AD16" s="197"/>
      <c r="AE16" s="197"/>
      <c r="AF16" s="197"/>
      <c r="AG16" s="197"/>
      <c r="AH16" s="197"/>
      <c r="AI16" s="197"/>
      <c r="AJ16" s="197"/>
      <c r="AK16" s="198"/>
      <c r="AL16" s="154">
        <f ca="1">IFERROR(INDEX(AWAKASH!W$10:X$40,MATCH(AM16,AWAKASH!X$10:X$40,0),1),0)</f>
        <v>0</v>
      </c>
      <c r="AM16" s="155">
        <f t="shared" ca="1" si="1"/>
        <v>43619</v>
      </c>
      <c r="AN16" s="156" t="str">
        <f t="shared" ca="1" si="15"/>
        <v>Mon</v>
      </c>
      <c r="AO16" s="157" t="str">
        <f t="shared" ca="1" si="16"/>
        <v>सब्जी-रोटी</v>
      </c>
      <c r="AP16" s="203"/>
      <c r="AQ16" s="204"/>
      <c r="AR16" s="205"/>
      <c r="AS16" s="205"/>
      <c r="AT16" s="205"/>
      <c r="AU16" s="205"/>
      <c r="AV16" s="205"/>
      <c r="AW16" s="205"/>
      <c r="AX16" s="205"/>
      <c r="AY16" s="205"/>
      <c r="AZ16" s="204"/>
      <c r="BA16" s="205"/>
      <c r="BB16" s="205"/>
      <c r="BC16" s="205"/>
      <c r="BD16" s="205"/>
      <c r="BE16" s="205"/>
      <c r="BF16" s="205"/>
      <c r="BG16" s="205"/>
      <c r="BH16" s="205"/>
      <c r="BI16" s="205"/>
      <c r="BJ16" s="206"/>
      <c r="BK16" s="154">
        <f ca="1">IFERROR(INDEX(AWAKASH!AK$10:AL$40,MATCH(BL16,AWAKASH!AL$10:AL$40,0),1),0)</f>
        <v>0</v>
      </c>
      <c r="BL16" s="158">
        <f t="shared" ca="1" si="2"/>
        <v>43649</v>
      </c>
      <c r="BM16" s="159" t="str">
        <f t="shared" ca="1" si="17"/>
        <v>Wed</v>
      </c>
      <c r="BN16" s="160" t="str">
        <f t="shared" ca="1" si="18"/>
        <v>दाल-रोटी</v>
      </c>
      <c r="BO16" s="211"/>
      <c r="BP16" s="212"/>
      <c r="BQ16" s="213"/>
      <c r="BR16" s="213"/>
      <c r="BS16" s="213"/>
      <c r="BT16" s="213"/>
      <c r="BU16" s="213"/>
      <c r="BV16" s="213"/>
      <c r="BW16" s="213"/>
      <c r="BX16" s="213"/>
      <c r="BY16" s="212"/>
      <c r="BZ16" s="213"/>
      <c r="CA16" s="213"/>
      <c r="CB16" s="213"/>
      <c r="CC16" s="213"/>
      <c r="CD16" s="213"/>
      <c r="CE16" s="213"/>
      <c r="CF16" s="213"/>
      <c r="CG16" s="213"/>
      <c r="CH16" s="213"/>
      <c r="CI16" s="214"/>
      <c r="CJ16" s="154">
        <f ca="1">IFERROR(INDEX(AWAKASH!AY$10:AZ$40,MATCH(CK16,AWAKASH!AZ$10:AZ$40,0),1),0)</f>
        <v>0</v>
      </c>
      <c r="CK16" s="161">
        <f t="shared" ca="1" si="3"/>
        <v>43680</v>
      </c>
      <c r="CL16" s="162" t="str">
        <f t="shared" ca="1" si="19"/>
        <v>Sat</v>
      </c>
      <c r="CM16" s="163" t="str">
        <f t="shared" ca="1" si="20"/>
        <v>सब्जी-रोटी</v>
      </c>
      <c r="CN16" s="219"/>
      <c r="CO16" s="220"/>
      <c r="CP16" s="221"/>
      <c r="CQ16" s="221"/>
      <c r="CR16" s="221"/>
      <c r="CS16" s="221"/>
      <c r="CT16" s="221"/>
      <c r="CU16" s="221"/>
      <c r="CV16" s="221"/>
      <c r="CW16" s="221"/>
      <c r="CX16" s="220"/>
      <c r="CY16" s="221"/>
      <c r="CZ16" s="221"/>
      <c r="DA16" s="221"/>
      <c r="DB16" s="221"/>
      <c r="DC16" s="221"/>
      <c r="DD16" s="221"/>
      <c r="DE16" s="221"/>
      <c r="DF16" s="221"/>
      <c r="DG16" s="221"/>
      <c r="DH16" s="222"/>
      <c r="DI16" s="154">
        <f ca="1">IFERROR(INDEX(AWAKASH!BM$10:BN$40,MATCH(DJ16,AWAKASH!BN$10:BN$40,0),1),0)</f>
        <v>0</v>
      </c>
      <c r="DJ16" s="164">
        <f t="shared" ca="1" si="4"/>
        <v>43711</v>
      </c>
      <c r="DK16" s="165" t="str">
        <f t="shared" ca="1" si="21"/>
        <v>Tue</v>
      </c>
      <c r="DL16" s="166" t="str">
        <f t="shared" ca="1" si="22"/>
        <v>दाल-चावल</v>
      </c>
      <c r="DM16" s="227"/>
      <c r="DN16" s="228"/>
      <c r="DO16" s="229"/>
      <c r="DP16" s="229"/>
      <c r="DQ16" s="229"/>
      <c r="DR16" s="229"/>
      <c r="DS16" s="229"/>
      <c r="DT16" s="229"/>
      <c r="DU16" s="229"/>
      <c r="DV16" s="229"/>
      <c r="DW16" s="228"/>
      <c r="DX16" s="229"/>
      <c r="DY16" s="229"/>
      <c r="DZ16" s="229"/>
      <c r="EA16" s="229"/>
      <c r="EB16" s="229"/>
      <c r="EC16" s="229"/>
      <c r="ED16" s="229"/>
      <c r="EE16" s="229"/>
      <c r="EF16" s="229"/>
      <c r="EG16" s="230"/>
      <c r="EH16" s="154">
        <f ca="1">IFERROR(INDEX(AWAKASH!CA$10:CB$40,MATCH(EI16,AWAKASH!CB$10:CB$40,0),1),0)</f>
        <v>0</v>
      </c>
      <c r="EI16" s="167">
        <f t="shared" ca="1" si="5"/>
        <v>43741</v>
      </c>
      <c r="EJ16" s="168" t="str">
        <f t="shared" ca="1" si="23"/>
        <v>Thu</v>
      </c>
      <c r="EK16" s="169" t="str">
        <f t="shared" ca="1" si="24"/>
        <v>खिचड़ी-सब्जी</v>
      </c>
      <c r="EL16" s="235"/>
      <c r="EM16" s="236"/>
      <c r="EN16" s="237"/>
      <c r="EO16" s="237"/>
      <c r="EP16" s="237"/>
      <c r="EQ16" s="237"/>
      <c r="ER16" s="237"/>
      <c r="ES16" s="237"/>
      <c r="ET16" s="237"/>
      <c r="EU16" s="237"/>
      <c r="EV16" s="236"/>
      <c r="EW16" s="237"/>
      <c r="EX16" s="237"/>
      <c r="EY16" s="237"/>
      <c r="EZ16" s="237"/>
      <c r="FA16" s="237"/>
      <c r="FB16" s="237"/>
      <c r="FC16" s="237"/>
      <c r="FD16" s="237"/>
      <c r="FE16" s="237"/>
      <c r="FF16" s="238"/>
      <c r="FG16" s="46">
        <f ca="1">IFERROR(INDEX(AWAKASH!FC$10:FD$40,MATCH(FH16,AWAKASH!FD$10:FD$40,0),1),0)</f>
        <v>0</v>
      </c>
      <c r="FH16" s="170">
        <f t="shared" ca="1" si="6"/>
        <v>43772</v>
      </c>
      <c r="FI16" s="171" t="str">
        <f t="shared" ca="1" si="25"/>
        <v>Sun</v>
      </c>
      <c r="FJ16" s="172">
        <f t="shared" ca="1" si="26"/>
        <v>0</v>
      </c>
      <c r="FK16" s="195"/>
      <c r="FL16" s="196"/>
      <c r="FM16" s="197"/>
      <c r="FN16" s="197"/>
      <c r="FO16" s="197"/>
      <c r="FP16" s="197"/>
      <c r="FQ16" s="197"/>
      <c r="FR16" s="197"/>
      <c r="FS16" s="197"/>
      <c r="FT16" s="197"/>
      <c r="FU16" s="196"/>
      <c r="FV16" s="197"/>
      <c r="FW16" s="197"/>
      <c r="FX16" s="197"/>
      <c r="FY16" s="197"/>
      <c r="FZ16" s="197"/>
      <c r="GA16" s="197"/>
      <c r="GB16" s="197"/>
      <c r="GC16" s="197"/>
      <c r="GD16" s="197"/>
      <c r="GE16" s="198"/>
      <c r="GF16" s="154">
        <f ca="1">IFERROR(INDEX(AWAKASH!FQ$10:FR$40,MATCH(GG16,AWAKASH!FR$10:FR$40,0),1),0)</f>
        <v>0</v>
      </c>
      <c r="GG16" s="155">
        <f t="shared" ca="1" si="7"/>
        <v>43802</v>
      </c>
      <c r="GH16" s="156" t="str">
        <f t="shared" ca="1" si="27"/>
        <v>Tue</v>
      </c>
      <c r="GI16" s="157" t="str">
        <f t="shared" ca="1" si="28"/>
        <v>दाल-चावल</v>
      </c>
      <c r="GJ16" s="203"/>
      <c r="GK16" s="204"/>
      <c r="GL16" s="205"/>
      <c r="GM16" s="205"/>
      <c r="GN16" s="205"/>
      <c r="GO16" s="205"/>
      <c r="GP16" s="205"/>
      <c r="GQ16" s="205"/>
      <c r="GR16" s="205"/>
      <c r="GS16" s="205"/>
      <c r="GT16" s="204"/>
      <c r="GU16" s="205"/>
      <c r="GV16" s="205"/>
      <c r="GW16" s="205"/>
      <c r="GX16" s="205"/>
      <c r="GY16" s="205"/>
      <c r="GZ16" s="205"/>
      <c r="HA16" s="205"/>
      <c r="HB16" s="205"/>
      <c r="HC16" s="205"/>
      <c r="HD16" s="206"/>
      <c r="HE16" s="154">
        <f ca="1">IFERROR(INDEX(AWAKASH!GE$10:GF$40,MATCH(HF16,AWAKASH!GF$10:GF$40,0),1),0)</f>
        <v>0</v>
      </c>
      <c r="HF16" s="158">
        <f t="shared" ca="1" si="8"/>
        <v>43833</v>
      </c>
      <c r="HG16" s="159" t="str">
        <f t="shared" ca="1" si="29"/>
        <v>Fri</v>
      </c>
      <c r="HH16" s="160" t="str">
        <f t="shared" ca="1" si="30"/>
        <v>दाल-रोटी</v>
      </c>
      <c r="HI16" s="211"/>
      <c r="HJ16" s="212"/>
      <c r="HK16" s="213"/>
      <c r="HL16" s="213"/>
      <c r="HM16" s="213"/>
      <c r="HN16" s="213"/>
      <c r="HO16" s="213"/>
      <c r="HP16" s="213"/>
      <c r="HQ16" s="213"/>
      <c r="HR16" s="213"/>
      <c r="HS16" s="212"/>
      <c r="HT16" s="213"/>
      <c r="HU16" s="213"/>
      <c r="HV16" s="213"/>
      <c r="HW16" s="213"/>
      <c r="HX16" s="213"/>
      <c r="HY16" s="213"/>
      <c r="HZ16" s="213"/>
      <c r="IA16" s="213"/>
      <c r="IB16" s="213"/>
      <c r="IC16" s="214"/>
      <c r="ID16" s="154">
        <f ca="1">IFERROR(INDEX(AWAKASH!GS$10:GT$40,MATCH(IE16,AWAKASH!GT$10:GT$40,0),1),0)</f>
        <v>0</v>
      </c>
      <c r="IE16" s="161">
        <f t="shared" ca="1" si="9"/>
        <v>0</v>
      </c>
      <c r="IF16" s="162" t="str">
        <f t="shared" ca="1" si="31"/>
        <v/>
      </c>
      <c r="IG16" s="163" t="str">
        <f t="shared" ca="1" si="32"/>
        <v/>
      </c>
      <c r="IH16" s="219"/>
      <c r="II16" s="220"/>
      <c r="IJ16" s="221"/>
      <c r="IK16" s="221"/>
      <c r="IL16" s="221"/>
      <c r="IM16" s="221"/>
      <c r="IN16" s="221"/>
      <c r="IO16" s="221"/>
      <c r="IP16" s="221"/>
      <c r="IQ16" s="221"/>
      <c r="IR16" s="220"/>
      <c r="IS16" s="221"/>
      <c r="IT16" s="221"/>
      <c r="IU16" s="221"/>
      <c r="IV16" s="221"/>
      <c r="IW16" s="221"/>
      <c r="IX16" s="221"/>
      <c r="IY16" s="221"/>
      <c r="IZ16" s="221"/>
      <c r="JA16" s="221"/>
      <c r="JB16" s="222"/>
      <c r="JC16" s="154">
        <f ca="1">IFERROR(INDEX(AWAKASH!HG$10:HH$40,MATCH(JD16,AWAKASH!HH$10:HH$40,0),1),0)</f>
        <v>0</v>
      </c>
      <c r="JD16" s="164">
        <f t="shared" ca="1" si="10"/>
        <v>0</v>
      </c>
      <c r="JE16" s="165" t="str">
        <f t="shared" ca="1" si="33"/>
        <v/>
      </c>
      <c r="JF16" s="166" t="str">
        <f t="shared" ca="1" si="34"/>
        <v/>
      </c>
      <c r="JG16" s="227"/>
      <c r="JH16" s="228"/>
      <c r="JI16" s="229"/>
      <c r="JJ16" s="229"/>
      <c r="JK16" s="229"/>
      <c r="JL16" s="229"/>
      <c r="JM16" s="229"/>
      <c r="JN16" s="229"/>
      <c r="JO16" s="229"/>
      <c r="JP16" s="229"/>
      <c r="JQ16" s="228"/>
      <c r="JR16" s="229"/>
      <c r="JS16" s="229"/>
      <c r="JT16" s="229"/>
      <c r="JU16" s="229"/>
      <c r="JV16" s="229"/>
      <c r="JW16" s="229"/>
      <c r="JX16" s="229"/>
      <c r="JY16" s="229"/>
      <c r="JZ16" s="229"/>
      <c r="KA16" s="230"/>
      <c r="KB16" s="154">
        <f ca="1">IFERROR(INDEX(AWAKASH!HU$10:HV$40,MATCH(KC16,AWAKASH!HV$10:HV$40,0),1),0)</f>
        <v>0</v>
      </c>
      <c r="KC16" s="167">
        <f t="shared" ca="1" si="11"/>
        <v>0</v>
      </c>
      <c r="KD16" s="168" t="str">
        <f t="shared" ca="1" si="35"/>
        <v/>
      </c>
      <c r="KE16" s="169" t="str">
        <f t="shared" ca="1" si="36"/>
        <v/>
      </c>
      <c r="KF16" s="235"/>
      <c r="KG16" s="236"/>
      <c r="KH16" s="237"/>
      <c r="KI16" s="237"/>
      <c r="KJ16" s="237"/>
      <c r="KK16" s="237"/>
      <c r="KL16" s="237"/>
      <c r="KM16" s="237"/>
      <c r="KN16" s="237"/>
      <c r="KO16" s="237"/>
      <c r="KP16" s="236"/>
      <c r="KQ16" s="237"/>
      <c r="KR16" s="237"/>
      <c r="KS16" s="237"/>
      <c r="KT16" s="237"/>
      <c r="KU16" s="237"/>
      <c r="KV16" s="237"/>
      <c r="KW16" s="237"/>
      <c r="KX16" s="237"/>
      <c r="KY16" s="237"/>
      <c r="KZ16" s="238"/>
      <c r="LA16" s="46"/>
    </row>
    <row r="17" spans="1:313" ht="20.100000000000001" customHeight="1" x14ac:dyDescent="0.25">
      <c r="A17" s="3">
        <v>4</v>
      </c>
      <c r="B17" s="3" t="str">
        <f>HOME!H10</f>
        <v>अगस्त</v>
      </c>
      <c r="C17" s="3">
        <f>HOME!I10</f>
        <v>2019</v>
      </c>
      <c r="D17" s="3">
        <f t="shared" si="12"/>
        <v>8</v>
      </c>
      <c r="E17" s="3" t="s">
        <v>141</v>
      </c>
      <c r="F17" s="3">
        <v>4</v>
      </c>
      <c r="M17" s="46">
        <f ca="1">IFERROR(INDEX(AWAKASH!I$10:J$40,MATCH(N17,AWAKASH!J$10:J$40,0),1),0)</f>
        <v>0</v>
      </c>
      <c r="N17" s="170">
        <f t="shared" ca="1" si="0"/>
        <v>43589</v>
      </c>
      <c r="O17" s="171" t="str">
        <f t="shared" ca="1" si="13"/>
        <v>Sat</v>
      </c>
      <c r="P17" s="172" t="str">
        <f t="shared" ca="1" si="14"/>
        <v>सब्जी-रोटी</v>
      </c>
      <c r="Q17" s="195"/>
      <c r="R17" s="196"/>
      <c r="S17" s="193"/>
      <c r="T17" s="197"/>
      <c r="U17" s="197"/>
      <c r="V17" s="197"/>
      <c r="W17" s="197"/>
      <c r="X17" s="197"/>
      <c r="Y17" s="197"/>
      <c r="Z17" s="197"/>
      <c r="AA17" s="196"/>
      <c r="AB17" s="197"/>
      <c r="AC17" s="197"/>
      <c r="AD17" s="197"/>
      <c r="AE17" s="197"/>
      <c r="AF17" s="197"/>
      <c r="AG17" s="197"/>
      <c r="AH17" s="197"/>
      <c r="AI17" s="197"/>
      <c r="AJ17" s="197"/>
      <c r="AK17" s="198"/>
      <c r="AL17" s="154">
        <f ca="1">IFERROR(INDEX(AWAKASH!W$10:X$40,MATCH(AM17,AWAKASH!X$10:X$40,0),1),0)</f>
        <v>0</v>
      </c>
      <c r="AM17" s="155">
        <f t="shared" ca="1" si="1"/>
        <v>43620</v>
      </c>
      <c r="AN17" s="156" t="str">
        <f t="shared" ca="1" si="15"/>
        <v>Tue</v>
      </c>
      <c r="AO17" s="157" t="str">
        <f t="shared" ca="1" si="16"/>
        <v>दाल-चावल</v>
      </c>
      <c r="AP17" s="203"/>
      <c r="AQ17" s="204"/>
      <c r="AR17" s="205"/>
      <c r="AS17" s="205"/>
      <c r="AT17" s="205"/>
      <c r="AU17" s="205"/>
      <c r="AV17" s="205"/>
      <c r="AW17" s="205"/>
      <c r="AX17" s="205"/>
      <c r="AY17" s="205"/>
      <c r="AZ17" s="204"/>
      <c r="BA17" s="205"/>
      <c r="BB17" s="205"/>
      <c r="BC17" s="205"/>
      <c r="BD17" s="205"/>
      <c r="BE17" s="205"/>
      <c r="BF17" s="205"/>
      <c r="BG17" s="205"/>
      <c r="BH17" s="205"/>
      <c r="BI17" s="205"/>
      <c r="BJ17" s="206"/>
      <c r="BK17" s="154">
        <f ca="1">IFERROR(INDEX(AWAKASH!AK$10:AL$40,MATCH(BL17,AWAKASH!AL$10:AL$40,0),1),0)</f>
        <v>0</v>
      </c>
      <c r="BL17" s="158">
        <f t="shared" ca="1" si="2"/>
        <v>43650</v>
      </c>
      <c r="BM17" s="159" t="str">
        <f t="shared" ca="1" si="17"/>
        <v>Thu</v>
      </c>
      <c r="BN17" s="160" t="str">
        <f t="shared" ca="1" si="18"/>
        <v>खिचड़ी-सब्जी</v>
      </c>
      <c r="BO17" s="211"/>
      <c r="BP17" s="212"/>
      <c r="BQ17" s="213"/>
      <c r="BR17" s="213"/>
      <c r="BS17" s="213"/>
      <c r="BT17" s="213"/>
      <c r="BU17" s="213"/>
      <c r="BV17" s="213"/>
      <c r="BW17" s="213"/>
      <c r="BX17" s="213"/>
      <c r="BY17" s="212"/>
      <c r="BZ17" s="213"/>
      <c r="CA17" s="213"/>
      <c r="CB17" s="213"/>
      <c r="CC17" s="213"/>
      <c r="CD17" s="213"/>
      <c r="CE17" s="213"/>
      <c r="CF17" s="213"/>
      <c r="CG17" s="213"/>
      <c r="CH17" s="213"/>
      <c r="CI17" s="214"/>
      <c r="CJ17" s="154">
        <f ca="1">IFERROR(INDEX(AWAKASH!AY$10:AZ$40,MATCH(CK17,AWAKASH!AZ$10:AZ$40,0),1),0)</f>
        <v>0</v>
      </c>
      <c r="CK17" s="161">
        <f t="shared" ca="1" si="3"/>
        <v>43681</v>
      </c>
      <c r="CL17" s="162" t="str">
        <f t="shared" ca="1" si="19"/>
        <v>Sun</v>
      </c>
      <c r="CM17" s="163">
        <f t="shared" ca="1" si="20"/>
        <v>0</v>
      </c>
      <c r="CN17" s="219"/>
      <c r="CO17" s="220"/>
      <c r="CP17" s="221"/>
      <c r="CQ17" s="221"/>
      <c r="CR17" s="221"/>
      <c r="CS17" s="221"/>
      <c r="CT17" s="221"/>
      <c r="CU17" s="221"/>
      <c r="CV17" s="221"/>
      <c r="CW17" s="221"/>
      <c r="CX17" s="220"/>
      <c r="CY17" s="221"/>
      <c r="CZ17" s="221"/>
      <c r="DA17" s="221"/>
      <c r="DB17" s="221"/>
      <c r="DC17" s="221"/>
      <c r="DD17" s="221"/>
      <c r="DE17" s="221"/>
      <c r="DF17" s="221"/>
      <c r="DG17" s="221"/>
      <c r="DH17" s="222"/>
      <c r="DI17" s="154">
        <f ca="1">IFERROR(INDEX(AWAKASH!BM$10:BN$40,MATCH(DJ17,AWAKASH!BN$10:BN$40,0),1),0)</f>
        <v>0</v>
      </c>
      <c r="DJ17" s="164">
        <f t="shared" ca="1" si="4"/>
        <v>43712</v>
      </c>
      <c r="DK17" s="165" t="str">
        <f t="shared" ca="1" si="21"/>
        <v>Wed</v>
      </c>
      <c r="DL17" s="166" t="str">
        <f t="shared" ca="1" si="22"/>
        <v>दाल-रोटी</v>
      </c>
      <c r="DM17" s="227"/>
      <c r="DN17" s="228"/>
      <c r="DO17" s="229"/>
      <c r="DP17" s="229"/>
      <c r="DQ17" s="229"/>
      <c r="DR17" s="229"/>
      <c r="DS17" s="229"/>
      <c r="DT17" s="229"/>
      <c r="DU17" s="229"/>
      <c r="DV17" s="229"/>
      <c r="DW17" s="228"/>
      <c r="DX17" s="229"/>
      <c r="DY17" s="229"/>
      <c r="DZ17" s="229"/>
      <c r="EA17" s="229"/>
      <c r="EB17" s="229"/>
      <c r="EC17" s="229"/>
      <c r="ED17" s="229"/>
      <c r="EE17" s="229"/>
      <c r="EF17" s="229"/>
      <c r="EG17" s="230"/>
      <c r="EH17" s="154">
        <f ca="1">IFERROR(INDEX(AWAKASH!CA$10:CB$40,MATCH(EI17,AWAKASH!CB$10:CB$40,0),1),0)</f>
        <v>0</v>
      </c>
      <c r="EI17" s="167">
        <f t="shared" ca="1" si="5"/>
        <v>43742</v>
      </c>
      <c r="EJ17" s="168" t="str">
        <f t="shared" ca="1" si="23"/>
        <v>Fri</v>
      </c>
      <c r="EK17" s="169" t="str">
        <f t="shared" ca="1" si="24"/>
        <v>दाल-रोटी</v>
      </c>
      <c r="EL17" s="235"/>
      <c r="EM17" s="236"/>
      <c r="EN17" s="237"/>
      <c r="EO17" s="237"/>
      <c r="EP17" s="237"/>
      <c r="EQ17" s="237"/>
      <c r="ER17" s="237"/>
      <c r="ES17" s="237"/>
      <c r="ET17" s="237"/>
      <c r="EU17" s="237"/>
      <c r="EV17" s="236"/>
      <c r="EW17" s="237"/>
      <c r="EX17" s="237"/>
      <c r="EY17" s="237"/>
      <c r="EZ17" s="237"/>
      <c r="FA17" s="237"/>
      <c r="FB17" s="237"/>
      <c r="FC17" s="237"/>
      <c r="FD17" s="237"/>
      <c r="FE17" s="237"/>
      <c r="FF17" s="238"/>
      <c r="FG17" s="46">
        <f ca="1">IFERROR(INDEX(AWAKASH!FC$10:FD$40,MATCH(FH17,AWAKASH!FD$10:FD$40,0),1),0)</f>
        <v>0</v>
      </c>
      <c r="FH17" s="170">
        <f t="shared" ca="1" si="6"/>
        <v>43773</v>
      </c>
      <c r="FI17" s="171" t="str">
        <f t="shared" ca="1" si="25"/>
        <v>Mon</v>
      </c>
      <c r="FJ17" s="172" t="str">
        <f t="shared" ca="1" si="26"/>
        <v>सब्जी-रोटी</v>
      </c>
      <c r="FK17" s="195"/>
      <c r="FL17" s="196"/>
      <c r="FM17" s="197"/>
      <c r="FN17" s="197"/>
      <c r="FO17" s="197"/>
      <c r="FP17" s="197"/>
      <c r="FQ17" s="197"/>
      <c r="FR17" s="197"/>
      <c r="FS17" s="197"/>
      <c r="FT17" s="197"/>
      <c r="FU17" s="196"/>
      <c r="FV17" s="197"/>
      <c r="FW17" s="197"/>
      <c r="FX17" s="197"/>
      <c r="FY17" s="197"/>
      <c r="FZ17" s="197"/>
      <c r="GA17" s="197"/>
      <c r="GB17" s="197"/>
      <c r="GC17" s="197"/>
      <c r="GD17" s="197"/>
      <c r="GE17" s="198"/>
      <c r="GF17" s="154">
        <f ca="1">IFERROR(INDEX(AWAKASH!FQ$10:FR$40,MATCH(GG17,AWAKASH!FR$10:FR$40,0),1),0)</f>
        <v>0</v>
      </c>
      <c r="GG17" s="155">
        <f t="shared" ca="1" si="7"/>
        <v>43803</v>
      </c>
      <c r="GH17" s="156" t="str">
        <f t="shared" ca="1" si="27"/>
        <v>Wed</v>
      </c>
      <c r="GI17" s="157" t="str">
        <f t="shared" ca="1" si="28"/>
        <v>दाल-रोटी</v>
      </c>
      <c r="GJ17" s="203"/>
      <c r="GK17" s="204"/>
      <c r="GL17" s="205"/>
      <c r="GM17" s="205"/>
      <c r="GN17" s="205"/>
      <c r="GO17" s="205"/>
      <c r="GP17" s="205"/>
      <c r="GQ17" s="205"/>
      <c r="GR17" s="205"/>
      <c r="GS17" s="205"/>
      <c r="GT17" s="204"/>
      <c r="GU17" s="205"/>
      <c r="GV17" s="205"/>
      <c r="GW17" s="205"/>
      <c r="GX17" s="205"/>
      <c r="GY17" s="205"/>
      <c r="GZ17" s="205"/>
      <c r="HA17" s="205"/>
      <c r="HB17" s="205"/>
      <c r="HC17" s="205"/>
      <c r="HD17" s="206"/>
      <c r="HE17" s="154">
        <f ca="1">IFERROR(INDEX(AWAKASH!GE$10:GF$40,MATCH(HF17,AWAKASH!GF$10:GF$40,0),1),0)</f>
        <v>0</v>
      </c>
      <c r="HF17" s="158">
        <f t="shared" ca="1" si="8"/>
        <v>43834</v>
      </c>
      <c r="HG17" s="159" t="str">
        <f t="shared" ca="1" si="29"/>
        <v>Sat</v>
      </c>
      <c r="HH17" s="160" t="str">
        <f t="shared" ca="1" si="30"/>
        <v>सब्जी-रोटी</v>
      </c>
      <c r="HI17" s="211"/>
      <c r="HJ17" s="212"/>
      <c r="HK17" s="213"/>
      <c r="HL17" s="213"/>
      <c r="HM17" s="213"/>
      <c r="HN17" s="213"/>
      <c r="HO17" s="213"/>
      <c r="HP17" s="213"/>
      <c r="HQ17" s="213"/>
      <c r="HR17" s="213"/>
      <c r="HS17" s="212"/>
      <c r="HT17" s="213"/>
      <c r="HU17" s="213"/>
      <c r="HV17" s="213"/>
      <c r="HW17" s="213"/>
      <c r="HX17" s="213"/>
      <c r="HY17" s="213"/>
      <c r="HZ17" s="213"/>
      <c r="IA17" s="213"/>
      <c r="IB17" s="213"/>
      <c r="IC17" s="214"/>
      <c r="ID17" s="154">
        <f ca="1">IFERROR(INDEX(AWAKASH!GS$10:GT$40,MATCH(IE17,AWAKASH!GT$10:GT$40,0),1),0)</f>
        <v>0</v>
      </c>
      <c r="IE17" s="161">
        <f t="shared" ca="1" si="9"/>
        <v>0</v>
      </c>
      <c r="IF17" s="162" t="str">
        <f t="shared" ca="1" si="31"/>
        <v/>
      </c>
      <c r="IG17" s="163" t="str">
        <f t="shared" ca="1" si="32"/>
        <v/>
      </c>
      <c r="IH17" s="219"/>
      <c r="II17" s="220"/>
      <c r="IJ17" s="221"/>
      <c r="IK17" s="221"/>
      <c r="IL17" s="221"/>
      <c r="IM17" s="221"/>
      <c r="IN17" s="221"/>
      <c r="IO17" s="221"/>
      <c r="IP17" s="221"/>
      <c r="IQ17" s="221"/>
      <c r="IR17" s="220"/>
      <c r="IS17" s="221"/>
      <c r="IT17" s="221"/>
      <c r="IU17" s="221"/>
      <c r="IV17" s="221"/>
      <c r="IW17" s="221"/>
      <c r="IX17" s="221"/>
      <c r="IY17" s="221"/>
      <c r="IZ17" s="221"/>
      <c r="JA17" s="221"/>
      <c r="JB17" s="222"/>
      <c r="JC17" s="154">
        <f ca="1">IFERROR(INDEX(AWAKASH!HG$10:HH$40,MATCH(JD17,AWAKASH!HH$10:HH$40,0),1),0)</f>
        <v>0</v>
      </c>
      <c r="JD17" s="164">
        <f t="shared" ca="1" si="10"/>
        <v>0</v>
      </c>
      <c r="JE17" s="165" t="str">
        <f t="shared" ca="1" si="33"/>
        <v/>
      </c>
      <c r="JF17" s="166" t="str">
        <f t="shared" ca="1" si="34"/>
        <v/>
      </c>
      <c r="JG17" s="227"/>
      <c r="JH17" s="228"/>
      <c r="JI17" s="229"/>
      <c r="JJ17" s="229"/>
      <c r="JK17" s="229"/>
      <c r="JL17" s="229"/>
      <c r="JM17" s="229"/>
      <c r="JN17" s="229"/>
      <c r="JO17" s="229"/>
      <c r="JP17" s="229"/>
      <c r="JQ17" s="228"/>
      <c r="JR17" s="229"/>
      <c r="JS17" s="229"/>
      <c r="JT17" s="229"/>
      <c r="JU17" s="229"/>
      <c r="JV17" s="229"/>
      <c r="JW17" s="229"/>
      <c r="JX17" s="229"/>
      <c r="JY17" s="229"/>
      <c r="JZ17" s="229"/>
      <c r="KA17" s="230"/>
      <c r="KB17" s="154">
        <f ca="1">IFERROR(INDEX(AWAKASH!HU$10:HV$40,MATCH(KC17,AWAKASH!HV$10:HV$40,0),1),0)</f>
        <v>0</v>
      </c>
      <c r="KC17" s="167">
        <f t="shared" ca="1" si="11"/>
        <v>0</v>
      </c>
      <c r="KD17" s="168" t="str">
        <f t="shared" ca="1" si="35"/>
        <v/>
      </c>
      <c r="KE17" s="169" t="str">
        <f t="shared" ca="1" si="36"/>
        <v/>
      </c>
      <c r="KF17" s="235"/>
      <c r="KG17" s="236"/>
      <c r="KH17" s="237"/>
      <c r="KI17" s="237"/>
      <c r="KJ17" s="237"/>
      <c r="KK17" s="237"/>
      <c r="KL17" s="237"/>
      <c r="KM17" s="237"/>
      <c r="KN17" s="237"/>
      <c r="KO17" s="237"/>
      <c r="KP17" s="236"/>
      <c r="KQ17" s="237"/>
      <c r="KR17" s="237"/>
      <c r="KS17" s="237"/>
      <c r="KT17" s="237"/>
      <c r="KU17" s="237"/>
      <c r="KV17" s="237"/>
      <c r="KW17" s="237"/>
      <c r="KX17" s="237"/>
      <c r="KY17" s="237"/>
      <c r="KZ17" s="238"/>
      <c r="LA17" s="46"/>
    </row>
    <row r="18" spans="1:313" ht="20.100000000000001" customHeight="1" x14ac:dyDescent="0.25">
      <c r="A18" s="3">
        <v>5</v>
      </c>
      <c r="B18" s="3" t="str">
        <f>HOME!H11</f>
        <v>सितम्बर</v>
      </c>
      <c r="C18" s="3">
        <f>HOME!I11</f>
        <v>2019</v>
      </c>
      <c r="D18" s="3">
        <f t="shared" si="12"/>
        <v>9</v>
      </c>
      <c r="E18" s="3" t="s">
        <v>130</v>
      </c>
      <c r="F18" s="3">
        <v>5</v>
      </c>
      <c r="M18" s="46">
        <f ca="1">IFERROR(INDEX(AWAKASH!I$10:J$40,MATCH(N18,AWAKASH!J$10:J$40,0),1),0)</f>
        <v>0</v>
      </c>
      <c r="N18" s="170">
        <f t="shared" ca="1" si="0"/>
        <v>43590</v>
      </c>
      <c r="O18" s="171" t="str">
        <f t="shared" ca="1" si="13"/>
        <v>Sun</v>
      </c>
      <c r="P18" s="172">
        <f t="shared" ca="1" si="14"/>
        <v>0</v>
      </c>
      <c r="Q18" s="195"/>
      <c r="R18" s="196"/>
      <c r="S18" s="197"/>
      <c r="T18" s="197"/>
      <c r="U18" s="197"/>
      <c r="V18" s="197"/>
      <c r="W18" s="197"/>
      <c r="X18" s="197"/>
      <c r="Y18" s="197"/>
      <c r="Z18" s="197"/>
      <c r="AA18" s="196"/>
      <c r="AB18" s="197"/>
      <c r="AC18" s="197"/>
      <c r="AD18" s="197"/>
      <c r="AE18" s="197"/>
      <c r="AF18" s="197"/>
      <c r="AG18" s="197"/>
      <c r="AH18" s="197"/>
      <c r="AI18" s="197"/>
      <c r="AJ18" s="197"/>
      <c r="AK18" s="198"/>
      <c r="AL18" s="154">
        <f ca="1">IFERROR(INDEX(AWAKASH!W$10:X$40,MATCH(AM18,AWAKASH!X$10:X$40,0),1),0)</f>
        <v>0</v>
      </c>
      <c r="AM18" s="155">
        <f t="shared" ca="1" si="1"/>
        <v>43621</v>
      </c>
      <c r="AN18" s="156" t="str">
        <f t="shared" ca="1" si="15"/>
        <v>Wed</v>
      </c>
      <c r="AO18" s="157" t="str">
        <f t="shared" ca="1" si="16"/>
        <v>दाल-रोटी</v>
      </c>
      <c r="AP18" s="203"/>
      <c r="AQ18" s="204"/>
      <c r="AR18" s="205"/>
      <c r="AS18" s="205"/>
      <c r="AT18" s="205"/>
      <c r="AU18" s="205"/>
      <c r="AV18" s="205"/>
      <c r="AW18" s="205"/>
      <c r="AX18" s="205"/>
      <c r="AY18" s="205"/>
      <c r="AZ18" s="204"/>
      <c r="BA18" s="205"/>
      <c r="BB18" s="205"/>
      <c r="BC18" s="205"/>
      <c r="BD18" s="205"/>
      <c r="BE18" s="205"/>
      <c r="BF18" s="205"/>
      <c r="BG18" s="205"/>
      <c r="BH18" s="205"/>
      <c r="BI18" s="205"/>
      <c r="BJ18" s="206"/>
      <c r="BK18" s="154">
        <f ca="1">IFERROR(INDEX(AWAKASH!AK$10:AL$40,MATCH(BL18,AWAKASH!AL$10:AL$40,0),1),0)</f>
        <v>0</v>
      </c>
      <c r="BL18" s="158">
        <f t="shared" ca="1" si="2"/>
        <v>43651</v>
      </c>
      <c r="BM18" s="159" t="str">
        <f t="shared" ca="1" si="17"/>
        <v>Fri</v>
      </c>
      <c r="BN18" s="160" t="str">
        <f t="shared" ca="1" si="18"/>
        <v>दाल-रोटी</v>
      </c>
      <c r="BO18" s="211"/>
      <c r="BP18" s="212"/>
      <c r="BQ18" s="213"/>
      <c r="BR18" s="213"/>
      <c r="BS18" s="213"/>
      <c r="BT18" s="213"/>
      <c r="BU18" s="213"/>
      <c r="BV18" s="213"/>
      <c r="BW18" s="213"/>
      <c r="BX18" s="213"/>
      <c r="BY18" s="212"/>
      <c r="BZ18" s="213"/>
      <c r="CA18" s="213"/>
      <c r="CB18" s="213"/>
      <c r="CC18" s="213"/>
      <c r="CD18" s="213"/>
      <c r="CE18" s="213"/>
      <c r="CF18" s="213"/>
      <c r="CG18" s="213"/>
      <c r="CH18" s="213"/>
      <c r="CI18" s="214"/>
      <c r="CJ18" s="154">
        <f ca="1">IFERROR(INDEX(AWAKASH!AY$10:AZ$40,MATCH(CK18,AWAKASH!AZ$10:AZ$40,0),1),0)</f>
        <v>0</v>
      </c>
      <c r="CK18" s="161">
        <f t="shared" ca="1" si="3"/>
        <v>43682</v>
      </c>
      <c r="CL18" s="162" t="str">
        <f t="shared" ca="1" si="19"/>
        <v>Mon</v>
      </c>
      <c r="CM18" s="163" t="str">
        <f t="shared" ca="1" si="20"/>
        <v>सब्जी-रोटी</v>
      </c>
      <c r="CN18" s="219"/>
      <c r="CO18" s="220"/>
      <c r="CP18" s="221"/>
      <c r="CQ18" s="221"/>
      <c r="CR18" s="221"/>
      <c r="CS18" s="221"/>
      <c r="CT18" s="221"/>
      <c r="CU18" s="221"/>
      <c r="CV18" s="221"/>
      <c r="CW18" s="221"/>
      <c r="CX18" s="220"/>
      <c r="CY18" s="221"/>
      <c r="CZ18" s="221"/>
      <c r="DA18" s="221"/>
      <c r="DB18" s="221"/>
      <c r="DC18" s="221"/>
      <c r="DD18" s="221"/>
      <c r="DE18" s="221"/>
      <c r="DF18" s="221"/>
      <c r="DG18" s="221"/>
      <c r="DH18" s="222"/>
      <c r="DI18" s="154">
        <f ca="1">IFERROR(INDEX(AWAKASH!BM$10:BN$40,MATCH(DJ18,AWAKASH!BN$10:BN$40,0),1),0)</f>
        <v>0</v>
      </c>
      <c r="DJ18" s="164">
        <f t="shared" ca="1" si="4"/>
        <v>43713</v>
      </c>
      <c r="DK18" s="165" t="str">
        <f t="shared" ca="1" si="21"/>
        <v>Thu</v>
      </c>
      <c r="DL18" s="166" t="str">
        <f t="shared" ca="1" si="22"/>
        <v>खिचड़ी-सब्जी</v>
      </c>
      <c r="DM18" s="227"/>
      <c r="DN18" s="228"/>
      <c r="DO18" s="229"/>
      <c r="DP18" s="229"/>
      <c r="DQ18" s="229"/>
      <c r="DR18" s="229"/>
      <c r="DS18" s="229"/>
      <c r="DT18" s="229"/>
      <c r="DU18" s="229"/>
      <c r="DV18" s="229"/>
      <c r="DW18" s="228"/>
      <c r="DX18" s="229"/>
      <c r="DY18" s="229"/>
      <c r="DZ18" s="229"/>
      <c r="EA18" s="229"/>
      <c r="EB18" s="229"/>
      <c r="EC18" s="229"/>
      <c r="ED18" s="229"/>
      <c r="EE18" s="229"/>
      <c r="EF18" s="229"/>
      <c r="EG18" s="230"/>
      <c r="EH18" s="154">
        <f ca="1">IFERROR(INDEX(AWAKASH!CA$10:CB$40,MATCH(EI18,AWAKASH!CB$10:CB$40,0),1),0)</f>
        <v>0</v>
      </c>
      <c r="EI18" s="167">
        <f t="shared" ca="1" si="5"/>
        <v>43743</v>
      </c>
      <c r="EJ18" s="168" t="str">
        <f t="shared" ca="1" si="23"/>
        <v>Sat</v>
      </c>
      <c r="EK18" s="169" t="str">
        <f t="shared" ca="1" si="24"/>
        <v>सब्जी-रोटी</v>
      </c>
      <c r="EL18" s="235"/>
      <c r="EM18" s="236"/>
      <c r="EN18" s="237"/>
      <c r="EO18" s="237"/>
      <c r="EP18" s="237"/>
      <c r="EQ18" s="237"/>
      <c r="ER18" s="237"/>
      <c r="ES18" s="237"/>
      <c r="ET18" s="237"/>
      <c r="EU18" s="237"/>
      <c r="EV18" s="236"/>
      <c r="EW18" s="237"/>
      <c r="EX18" s="237"/>
      <c r="EY18" s="237"/>
      <c r="EZ18" s="237"/>
      <c r="FA18" s="237"/>
      <c r="FB18" s="237"/>
      <c r="FC18" s="237"/>
      <c r="FD18" s="237"/>
      <c r="FE18" s="237"/>
      <c r="FF18" s="238"/>
      <c r="FG18" s="46">
        <f ca="1">IFERROR(INDEX(AWAKASH!FC$10:FD$40,MATCH(FH18,AWAKASH!FD$10:FD$40,0),1),0)</f>
        <v>0</v>
      </c>
      <c r="FH18" s="170">
        <f t="shared" ca="1" si="6"/>
        <v>43774</v>
      </c>
      <c r="FI18" s="171" t="str">
        <f t="shared" ca="1" si="25"/>
        <v>Tue</v>
      </c>
      <c r="FJ18" s="172" t="str">
        <f t="shared" ca="1" si="26"/>
        <v>दाल-चावल</v>
      </c>
      <c r="FK18" s="195"/>
      <c r="FL18" s="196"/>
      <c r="FM18" s="197"/>
      <c r="FN18" s="197"/>
      <c r="FO18" s="197"/>
      <c r="FP18" s="197"/>
      <c r="FQ18" s="197"/>
      <c r="FR18" s="197"/>
      <c r="FS18" s="197"/>
      <c r="FT18" s="197"/>
      <c r="FU18" s="196"/>
      <c r="FV18" s="197"/>
      <c r="FW18" s="197"/>
      <c r="FX18" s="197"/>
      <c r="FY18" s="197"/>
      <c r="FZ18" s="197"/>
      <c r="GA18" s="197"/>
      <c r="GB18" s="197"/>
      <c r="GC18" s="197"/>
      <c r="GD18" s="197"/>
      <c r="GE18" s="198"/>
      <c r="GF18" s="154">
        <f ca="1">IFERROR(INDEX(AWAKASH!FQ$10:FR$40,MATCH(GG18,AWAKASH!FR$10:FR$40,0),1),0)</f>
        <v>0</v>
      </c>
      <c r="GG18" s="155">
        <f t="shared" ca="1" si="7"/>
        <v>43804</v>
      </c>
      <c r="GH18" s="156" t="str">
        <f t="shared" ca="1" si="27"/>
        <v>Thu</v>
      </c>
      <c r="GI18" s="157" t="str">
        <f t="shared" ca="1" si="28"/>
        <v>खिचड़ी-सब्जी</v>
      </c>
      <c r="GJ18" s="203"/>
      <c r="GK18" s="204"/>
      <c r="GL18" s="205"/>
      <c r="GM18" s="205"/>
      <c r="GN18" s="205"/>
      <c r="GO18" s="205"/>
      <c r="GP18" s="205"/>
      <c r="GQ18" s="205"/>
      <c r="GR18" s="205"/>
      <c r="GS18" s="205"/>
      <c r="GT18" s="204"/>
      <c r="GU18" s="205"/>
      <c r="GV18" s="205"/>
      <c r="GW18" s="205"/>
      <c r="GX18" s="205"/>
      <c r="GY18" s="205"/>
      <c r="GZ18" s="205"/>
      <c r="HA18" s="205"/>
      <c r="HB18" s="205"/>
      <c r="HC18" s="205"/>
      <c r="HD18" s="206"/>
      <c r="HE18" s="154">
        <f ca="1">IFERROR(INDEX(AWAKASH!GE$10:GF$40,MATCH(HF18,AWAKASH!GF$10:GF$40,0),1),0)</f>
        <v>0</v>
      </c>
      <c r="HF18" s="158">
        <f t="shared" ca="1" si="8"/>
        <v>43835</v>
      </c>
      <c r="HG18" s="159" t="str">
        <f t="shared" ca="1" si="29"/>
        <v>Sun</v>
      </c>
      <c r="HH18" s="160">
        <f t="shared" ca="1" si="30"/>
        <v>0</v>
      </c>
      <c r="HI18" s="211"/>
      <c r="HJ18" s="212"/>
      <c r="HK18" s="213"/>
      <c r="HL18" s="213"/>
      <c r="HM18" s="213"/>
      <c r="HN18" s="213"/>
      <c r="HO18" s="213"/>
      <c r="HP18" s="213"/>
      <c r="HQ18" s="213"/>
      <c r="HR18" s="213"/>
      <c r="HS18" s="212"/>
      <c r="HT18" s="213"/>
      <c r="HU18" s="213"/>
      <c r="HV18" s="213"/>
      <c r="HW18" s="213"/>
      <c r="HX18" s="213"/>
      <c r="HY18" s="213"/>
      <c r="HZ18" s="213"/>
      <c r="IA18" s="213"/>
      <c r="IB18" s="213"/>
      <c r="IC18" s="214"/>
      <c r="ID18" s="154">
        <f ca="1">IFERROR(INDEX(AWAKASH!GS$10:GT$40,MATCH(IE18,AWAKASH!GT$10:GT$40,0),1),0)</f>
        <v>0</v>
      </c>
      <c r="IE18" s="161">
        <f t="shared" ca="1" si="9"/>
        <v>0</v>
      </c>
      <c r="IF18" s="162" t="str">
        <f t="shared" ca="1" si="31"/>
        <v/>
      </c>
      <c r="IG18" s="163" t="str">
        <f t="shared" ca="1" si="32"/>
        <v/>
      </c>
      <c r="IH18" s="219"/>
      <c r="II18" s="220"/>
      <c r="IJ18" s="221"/>
      <c r="IK18" s="221"/>
      <c r="IL18" s="221"/>
      <c r="IM18" s="221"/>
      <c r="IN18" s="221"/>
      <c r="IO18" s="221"/>
      <c r="IP18" s="221"/>
      <c r="IQ18" s="221"/>
      <c r="IR18" s="220"/>
      <c r="IS18" s="221"/>
      <c r="IT18" s="221"/>
      <c r="IU18" s="221"/>
      <c r="IV18" s="221"/>
      <c r="IW18" s="221"/>
      <c r="IX18" s="221"/>
      <c r="IY18" s="221"/>
      <c r="IZ18" s="221"/>
      <c r="JA18" s="221"/>
      <c r="JB18" s="222"/>
      <c r="JC18" s="154">
        <f ca="1">IFERROR(INDEX(AWAKASH!HG$10:HH$40,MATCH(JD18,AWAKASH!HH$10:HH$40,0),1),0)</f>
        <v>0</v>
      </c>
      <c r="JD18" s="164">
        <f t="shared" ca="1" si="10"/>
        <v>0</v>
      </c>
      <c r="JE18" s="165" t="str">
        <f t="shared" ca="1" si="33"/>
        <v/>
      </c>
      <c r="JF18" s="166" t="str">
        <f t="shared" ca="1" si="34"/>
        <v/>
      </c>
      <c r="JG18" s="227"/>
      <c r="JH18" s="228"/>
      <c r="JI18" s="229"/>
      <c r="JJ18" s="229"/>
      <c r="JK18" s="229"/>
      <c r="JL18" s="229"/>
      <c r="JM18" s="229"/>
      <c r="JN18" s="229"/>
      <c r="JO18" s="229"/>
      <c r="JP18" s="229"/>
      <c r="JQ18" s="228"/>
      <c r="JR18" s="229"/>
      <c r="JS18" s="229"/>
      <c r="JT18" s="229"/>
      <c r="JU18" s="229"/>
      <c r="JV18" s="229"/>
      <c r="JW18" s="229"/>
      <c r="JX18" s="229"/>
      <c r="JY18" s="229"/>
      <c r="JZ18" s="229"/>
      <c r="KA18" s="230"/>
      <c r="KB18" s="154">
        <f ca="1">IFERROR(INDEX(AWAKASH!HU$10:HV$40,MATCH(KC18,AWAKASH!HV$10:HV$40,0),1),0)</f>
        <v>0</v>
      </c>
      <c r="KC18" s="167">
        <f t="shared" ca="1" si="11"/>
        <v>0</v>
      </c>
      <c r="KD18" s="168" t="str">
        <f t="shared" ca="1" si="35"/>
        <v/>
      </c>
      <c r="KE18" s="169" t="str">
        <f t="shared" ca="1" si="36"/>
        <v/>
      </c>
      <c r="KF18" s="235"/>
      <c r="KG18" s="236"/>
      <c r="KH18" s="237"/>
      <c r="KI18" s="237"/>
      <c r="KJ18" s="237"/>
      <c r="KK18" s="237"/>
      <c r="KL18" s="237"/>
      <c r="KM18" s="237"/>
      <c r="KN18" s="237"/>
      <c r="KO18" s="237"/>
      <c r="KP18" s="236"/>
      <c r="KQ18" s="237"/>
      <c r="KR18" s="237"/>
      <c r="KS18" s="237"/>
      <c r="KT18" s="237"/>
      <c r="KU18" s="237"/>
      <c r="KV18" s="237"/>
      <c r="KW18" s="237"/>
      <c r="KX18" s="237"/>
      <c r="KY18" s="237"/>
      <c r="KZ18" s="238"/>
      <c r="LA18" s="46"/>
    </row>
    <row r="19" spans="1:313" ht="20.100000000000001" customHeight="1" x14ac:dyDescent="0.25">
      <c r="A19" s="3">
        <v>6</v>
      </c>
      <c r="B19" s="3" t="str">
        <f>HOME!H12</f>
        <v>अक्टूम्बर</v>
      </c>
      <c r="C19" s="3">
        <f>HOME!I12</f>
        <v>2019</v>
      </c>
      <c r="D19" s="3">
        <f t="shared" si="12"/>
        <v>10</v>
      </c>
      <c r="E19" s="3" t="s">
        <v>131</v>
      </c>
      <c r="F19" s="3">
        <v>6</v>
      </c>
      <c r="K19" s="3">
        <f ca="1">MATCH($P$46,O19:O19,0)</f>
        <v>1</v>
      </c>
      <c r="M19" s="46">
        <f ca="1">IFERROR(INDEX(AWAKASH!I$10:J$40,MATCH(N19,AWAKASH!J$10:J$40,0),1),0)</f>
        <v>0</v>
      </c>
      <c r="N19" s="170">
        <f t="shared" ca="1" si="0"/>
        <v>43591</v>
      </c>
      <c r="O19" s="171" t="str">
        <f t="shared" ca="1" si="13"/>
        <v>Mon</v>
      </c>
      <c r="P19" s="172" t="str">
        <f t="shared" ca="1" si="14"/>
        <v>सब्जी-रोटी</v>
      </c>
      <c r="Q19" s="195"/>
      <c r="R19" s="196"/>
      <c r="S19" s="193"/>
      <c r="T19" s="197"/>
      <c r="U19" s="197"/>
      <c r="V19" s="197"/>
      <c r="W19" s="197"/>
      <c r="X19" s="197"/>
      <c r="Y19" s="197"/>
      <c r="Z19" s="197"/>
      <c r="AA19" s="196"/>
      <c r="AB19" s="197"/>
      <c r="AC19" s="197"/>
      <c r="AD19" s="197"/>
      <c r="AE19" s="197"/>
      <c r="AF19" s="197"/>
      <c r="AG19" s="197"/>
      <c r="AH19" s="197"/>
      <c r="AI19" s="197"/>
      <c r="AJ19" s="197"/>
      <c r="AK19" s="198"/>
      <c r="AL19" s="154">
        <f ca="1">IFERROR(INDEX(AWAKASH!W$10:X$40,MATCH(AM19,AWAKASH!X$10:X$40,0),1),0)</f>
        <v>0</v>
      </c>
      <c r="AM19" s="155">
        <f t="shared" ca="1" si="1"/>
        <v>43622</v>
      </c>
      <c r="AN19" s="156" t="str">
        <f t="shared" ca="1" si="15"/>
        <v>Thu</v>
      </c>
      <c r="AO19" s="157" t="str">
        <f t="shared" ca="1" si="16"/>
        <v>खिचड़ी-सब्जी</v>
      </c>
      <c r="AP19" s="203"/>
      <c r="AQ19" s="204"/>
      <c r="AR19" s="205"/>
      <c r="AS19" s="205"/>
      <c r="AT19" s="205"/>
      <c r="AU19" s="205"/>
      <c r="AV19" s="205"/>
      <c r="AW19" s="205"/>
      <c r="AX19" s="205"/>
      <c r="AY19" s="205"/>
      <c r="AZ19" s="204"/>
      <c r="BA19" s="205"/>
      <c r="BB19" s="205"/>
      <c r="BC19" s="205"/>
      <c r="BD19" s="205"/>
      <c r="BE19" s="205"/>
      <c r="BF19" s="205"/>
      <c r="BG19" s="205"/>
      <c r="BH19" s="205"/>
      <c r="BI19" s="205"/>
      <c r="BJ19" s="206"/>
      <c r="BK19" s="154">
        <f ca="1">IFERROR(INDEX(AWAKASH!AK$10:AL$40,MATCH(BL19,AWAKASH!AL$10:AL$40,0),1),0)</f>
        <v>0</v>
      </c>
      <c r="BL19" s="158">
        <f t="shared" ca="1" si="2"/>
        <v>43652</v>
      </c>
      <c r="BM19" s="159" t="str">
        <f t="shared" ca="1" si="17"/>
        <v>Sat</v>
      </c>
      <c r="BN19" s="160" t="str">
        <f t="shared" ca="1" si="18"/>
        <v>सब्जी-रोटी</v>
      </c>
      <c r="BO19" s="211"/>
      <c r="BP19" s="212"/>
      <c r="BQ19" s="213"/>
      <c r="BR19" s="213"/>
      <c r="BS19" s="213"/>
      <c r="BT19" s="213"/>
      <c r="BU19" s="213"/>
      <c r="BV19" s="213"/>
      <c r="BW19" s="213"/>
      <c r="BX19" s="213"/>
      <c r="BY19" s="212"/>
      <c r="BZ19" s="213"/>
      <c r="CA19" s="213"/>
      <c r="CB19" s="213"/>
      <c r="CC19" s="213"/>
      <c r="CD19" s="213"/>
      <c r="CE19" s="213"/>
      <c r="CF19" s="213"/>
      <c r="CG19" s="213"/>
      <c r="CH19" s="213"/>
      <c r="CI19" s="214"/>
      <c r="CJ19" s="154">
        <f ca="1">IFERROR(INDEX(AWAKASH!AY$10:AZ$40,MATCH(CK19,AWAKASH!AZ$10:AZ$40,0),1),0)</f>
        <v>0</v>
      </c>
      <c r="CK19" s="161">
        <f t="shared" ca="1" si="3"/>
        <v>43683</v>
      </c>
      <c r="CL19" s="162" t="str">
        <f t="shared" ca="1" si="19"/>
        <v>Tue</v>
      </c>
      <c r="CM19" s="163" t="str">
        <f t="shared" ca="1" si="20"/>
        <v>दाल-चावल</v>
      </c>
      <c r="CN19" s="219"/>
      <c r="CO19" s="220"/>
      <c r="CP19" s="221"/>
      <c r="CQ19" s="221"/>
      <c r="CR19" s="221"/>
      <c r="CS19" s="221"/>
      <c r="CT19" s="221"/>
      <c r="CU19" s="221"/>
      <c r="CV19" s="221"/>
      <c r="CW19" s="221"/>
      <c r="CX19" s="220"/>
      <c r="CY19" s="221"/>
      <c r="CZ19" s="221"/>
      <c r="DA19" s="221"/>
      <c r="DB19" s="221"/>
      <c r="DC19" s="221"/>
      <c r="DD19" s="221"/>
      <c r="DE19" s="221"/>
      <c r="DF19" s="221"/>
      <c r="DG19" s="221"/>
      <c r="DH19" s="222"/>
      <c r="DI19" s="154">
        <f ca="1">IFERROR(INDEX(AWAKASH!BM$10:BN$40,MATCH(DJ19,AWAKASH!BN$10:BN$40,0),1),0)</f>
        <v>0</v>
      </c>
      <c r="DJ19" s="164">
        <f t="shared" ca="1" si="4"/>
        <v>43714</v>
      </c>
      <c r="DK19" s="165" t="str">
        <f t="shared" ca="1" si="21"/>
        <v>Fri</v>
      </c>
      <c r="DL19" s="166" t="str">
        <f t="shared" ca="1" si="22"/>
        <v>दाल-रोटी</v>
      </c>
      <c r="DM19" s="227"/>
      <c r="DN19" s="228"/>
      <c r="DO19" s="229"/>
      <c r="DP19" s="229"/>
      <c r="DQ19" s="229"/>
      <c r="DR19" s="229"/>
      <c r="DS19" s="229"/>
      <c r="DT19" s="229"/>
      <c r="DU19" s="229"/>
      <c r="DV19" s="229"/>
      <c r="DW19" s="228"/>
      <c r="DX19" s="229"/>
      <c r="DY19" s="229"/>
      <c r="DZ19" s="229"/>
      <c r="EA19" s="229"/>
      <c r="EB19" s="229"/>
      <c r="EC19" s="229"/>
      <c r="ED19" s="229"/>
      <c r="EE19" s="229"/>
      <c r="EF19" s="229"/>
      <c r="EG19" s="230"/>
      <c r="EH19" s="154">
        <f ca="1">IFERROR(INDEX(AWAKASH!CA$10:CB$40,MATCH(EI19,AWAKASH!CB$10:CB$40,0),1),0)</f>
        <v>0</v>
      </c>
      <c r="EI19" s="167">
        <f t="shared" ca="1" si="5"/>
        <v>43744</v>
      </c>
      <c r="EJ19" s="168" t="str">
        <f t="shared" ca="1" si="23"/>
        <v>Sun</v>
      </c>
      <c r="EK19" s="169">
        <f t="shared" ca="1" si="24"/>
        <v>0</v>
      </c>
      <c r="EL19" s="235"/>
      <c r="EM19" s="236"/>
      <c r="EN19" s="237"/>
      <c r="EO19" s="237"/>
      <c r="EP19" s="237"/>
      <c r="EQ19" s="237"/>
      <c r="ER19" s="237"/>
      <c r="ES19" s="237"/>
      <c r="ET19" s="237"/>
      <c r="EU19" s="237"/>
      <c r="EV19" s="236"/>
      <c r="EW19" s="237"/>
      <c r="EX19" s="237"/>
      <c r="EY19" s="237"/>
      <c r="EZ19" s="237"/>
      <c r="FA19" s="237"/>
      <c r="FB19" s="237"/>
      <c r="FC19" s="237"/>
      <c r="FD19" s="237"/>
      <c r="FE19" s="237"/>
      <c r="FF19" s="238"/>
      <c r="FG19" s="46">
        <f ca="1">IFERROR(INDEX(AWAKASH!FC$10:FD$40,MATCH(FH19,AWAKASH!FD$10:FD$40,0),1),0)</f>
        <v>0</v>
      </c>
      <c r="FH19" s="170">
        <f t="shared" ca="1" si="6"/>
        <v>43775</v>
      </c>
      <c r="FI19" s="171" t="str">
        <f t="shared" ca="1" si="25"/>
        <v>Wed</v>
      </c>
      <c r="FJ19" s="172" t="str">
        <f t="shared" ca="1" si="26"/>
        <v>दाल-रोटी</v>
      </c>
      <c r="FK19" s="195"/>
      <c r="FL19" s="196"/>
      <c r="FM19" s="197"/>
      <c r="FN19" s="197"/>
      <c r="FO19" s="197"/>
      <c r="FP19" s="197"/>
      <c r="FQ19" s="197"/>
      <c r="FR19" s="197"/>
      <c r="FS19" s="197"/>
      <c r="FT19" s="197"/>
      <c r="FU19" s="196"/>
      <c r="FV19" s="197"/>
      <c r="FW19" s="197"/>
      <c r="FX19" s="197"/>
      <c r="FY19" s="197"/>
      <c r="FZ19" s="197"/>
      <c r="GA19" s="197"/>
      <c r="GB19" s="197"/>
      <c r="GC19" s="197"/>
      <c r="GD19" s="197"/>
      <c r="GE19" s="198"/>
      <c r="GF19" s="154">
        <f ca="1">IFERROR(INDEX(AWAKASH!FQ$10:FR$40,MATCH(GG19,AWAKASH!FR$10:FR$40,0),1),0)</f>
        <v>0</v>
      </c>
      <c r="GG19" s="155">
        <f t="shared" ca="1" si="7"/>
        <v>43805</v>
      </c>
      <c r="GH19" s="156" t="str">
        <f t="shared" ca="1" si="27"/>
        <v>Fri</v>
      </c>
      <c r="GI19" s="157" t="str">
        <f t="shared" ca="1" si="28"/>
        <v>दाल-रोटी</v>
      </c>
      <c r="GJ19" s="203"/>
      <c r="GK19" s="204"/>
      <c r="GL19" s="205"/>
      <c r="GM19" s="205"/>
      <c r="GN19" s="205"/>
      <c r="GO19" s="205"/>
      <c r="GP19" s="205"/>
      <c r="GQ19" s="205"/>
      <c r="GR19" s="205"/>
      <c r="GS19" s="205"/>
      <c r="GT19" s="204"/>
      <c r="GU19" s="205"/>
      <c r="GV19" s="205"/>
      <c r="GW19" s="205"/>
      <c r="GX19" s="205"/>
      <c r="GY19" s="205"/>
      <c r="GZ19" s="205"/>
      <c r="HA19" s="205"/>
      <c r="HB19" s="205"/>
      <c r="HC19" s="205"/>
      <c r="HD19" s="206"/>
      <c r="HE19" s="154">
        <f ca="1">IFERROR(INDEX(AWAKASH!GE$10:GF$40,MATCH(HF19,AWAKASH!GF$10:GF$40,0),1),0)</f>
        <v>0</v>
      </c>
      <c r="HF19" s="158">
        <f t="shared" ca="1" si="8"/>
        <v>43836</v>
      </c>
      <c r="HG19" s="159" t="str">
        <f t="shared" ca="1" si="29"/>
        <v>Mon</v>
      </c>
      <c r="HH19" s="160" t="str">
        <f t="shared" ca="1" si="30"/>
        <v>सब्जी-रोटी</v>
      </c>
      <c r="HI19" s="211"/>
      <c r="HJ19" s="212"/>
      <c r="HK19" s="213"/>
      <c r="HL19" s="213"/>
      <c r="HM19" s="213"/>
      <c r="HN19" s="213"/>
      <c r="HO19" s="213"/>
      <c r="HP19" s="213"/>
      <c r="HQ19" s="213"/>
      <c r="HR19" s="213"/>
      <c r="HS19" s="212"/>
      <c r="HT19" s="213"/>
      <c r="HU19" s="213"/>
      <c r="HV19" s="213"/>
      <c r="HW19" s="213"/>
      <c r="HX19" s="213"/>
      <c r="HY19" s="213"/>
      <c r="HZ19" s="213"/>
      <c r="IA19" s="213"/>
      <c r="IB19" s="213"/>
      <c r="IC19" s="214"/>
      <c r="ID19" s="154">
        <f ca="1">IFERROR(INDEX(AWAKASH!GS$10:GT$40,MATCH(IE19,AWAKASH!GT$10:GT$40,0),1),0)</f>
        <v>0</v>
      </c>
      <c r="IE19" s="161">
        <f t="shared" ca="1" si="9"/>
        <v>0</v>
      </c>
      <c r="IF19" s="162" t="str">
        <f t="shared" ca="1" si="31"/>
        <v/>
      </c>
      <c r="IG19" s="163" t="str">
        <f t="shared" ca="1" si="32"/>
        <v/>
      </c>
      <c r="IH19" s="219"/>
      <c r="II19" s="220"/>
      <c r="IJ19" s="221"/>
      <c r="IK19" s="221"/>
      <c r="IL19" s="221"/>
      <c r="IM19" s="221"/>
      <c r="IN19" s="221"/>
      <c r="IO19" s="221"/>
      <c r="IP19" s="221"/>
      <c r="IQ19" s="221"/>
      <c r="IR19" s="220"/>
      <c r="IS19" s="221"/>
      <c r="IT19" s="221"/>
      <c r="IU19" s="221"/>
      <c r="IV19" s="221"/>
      <c r="IW19" s="221"/>
      <c r="IX19" s="221"/>
      <c r="IY19" s="221"/>
      <c r="IZ19" s="221"/>
      <c r="JA19" s="221"/>
      <c r="JB19" s="222"/>
      <c r="JC19" s="154">
        <f ca="1">IFERROR(INDEX(AWAKASH!HG$10:HH$40,MATCH(JD19,AWAKASH!HH$10:HH$40,0),1),0)</f>
        <v>0</v>
      </c>
      <c r="JD19" s="164">
        <f t="shared" ca="1" si="10"/>
        <v>0</v>
      </c>
      <c r="JE19" s="165" t="str">
        <f t="shared" ca="1" si="33"/>
        <v/>
      </c>
      <c r="JF19" s="166" t="str">
        <f t="shared" ca="1" si="34"/>
        <v/>
      </c>
      <c r="JG19" s="227"/>
      <c r="JH19" s="228"/>
      <c r="JI19" s="229"/>
      <c r="JJ19" s="229"/>
      <c r="JK19" s="229"/>
      <c r="JL19" s="229"/>
      <c r="JM19" s="229"/>
      <c r="JN19" s="229"/>
      <c r="JO19" s="229"/>
      <c r="JP19" s="229"/>
      <c r="JQ19" s="228"/>
      <c r="JR19" s="229"/>
      <c r="JS19" s="229"/>
      <c r="JT19" s="229"/>
      <c r="JU19" s="229"/>
      <c r="JV19" s="229"/>
      <c r="JW19" s="229"/>
      <c r="JX19" s="229"/>
      <c r="JY19" s="229"/>
      <c r="JZ19" s="229"/>
      <c r="KA19" s="230"/>
      <c r="KB19" s="154">
        <f ca="1">IFERROR(INDEX(AWAKASH!HU$10:HV$40,MATCH(KC19,AWAKASH!HV$10:HV$40,0),1),0)</f>
        <v>0</v>
      </c>
      <c r="KC19" s="167">
        <f t="shared" ca="1" si="11"/>
        <v>0</v>
      </c>
      <c r="KD19" s="168" t="str">
        <f t="shared" ca="1" si="35"/>
        <v/>
      </c>
      <c r="KE19" s="169" t="str">
        <f t="shared" ca="1" si="36"/>
        <v/>
      </c>
      <c r="KF19" s="235"/>
      <c r="KG19" s="236"/>
      <c r="KH19" s="237"/>
      <c r="KI19" s="237"/>
      <c r="KJ19" s="237"/>
      <c r="KK19" s="237"/>
      <c r="KL19" s="237"/>
      <c r="KM19" s="237"/>
      <c r="KN19" s="237"/>
      <c r="KO19" s="237"/>
      <c r="KP19" s="236"/>
      <c r="KQ19" s="237"/>
      <c r="KR19" s="237"/>
      <c r="KS19" s="237"/>
      <c r="KT19" s="237"/>
      <c r="KU19" s="237"/>
      <c r="KV19" s="237"/>
      <c r="KW19" s="237"/>
      <c r="KX19" s="237"/>
      <c r="KY19" s="237"/>
      <c r="KZ19" s="238"/>
      <c r="LA19" s="46"/>
    </row>
    <row r="20" spans="1:313" ht="20.100000000000001" customHeight="1" x14ac:dyDescent="0.25">
      <c r="A20" s="3">
        <v>7</v>
      </c>
      <c r="B20" s="3" t="str">
        <f>HOME!H13</f>
        <v>नवम्बर</v>
      </c>
      <c r="C20" s="3">
        <f>HOME!I13</f>
        <v>2019</v>
      </c>
      <c r="D20" s="3">
        <f t="shared" si="12"/>
        <v>11</v>
      </c>
      <c r="E20" s="3" t="s">
        <v>132</v>
      </c>
      <c r="F20" s="3">
        <v>7</v>
      </c>
      <c r="M20" s="46">
        <f ca="1">IFERROR(INDEX(AWAKASH!I$10:J$40,MATCH(N20,AWAKASH!J$10:J$40,0),1),0)</f>
        <v>0</v>
      </c>
      <c r="N20" s="170">
        <f t="shared" ca="1" si="0"/>
        <v>43592</v>
      </c>
      <c r="O20" s="171" t="str">
        <f t="shared" ca="1" si="13"/>
        <v>Tue</v>
      </c>
      <c r="P20" s="172" t="str">
        <f t="shared" ca="1" si="14"/>
        <v>दाल-चावल</v>
      </c>
      <c r="Q20" s="195"/>
      <c r="R20" s="196"/>
      <c r="S20" s="197"/>
      <c r="T20" s="197"/>
      <c r="U20" s="197"/>
      <c r="V20" s="197"/>
      <c r="W20" s="197"/>
      <c r="X20" s="197"/>
      <c r="Y20" s="197"/>
      <c r="Z20" s="197"/>
      <c r="AA20" s="196"/>
      <c r="AB20" s="197"/>
      <c r="AC20" s="197"/>
      <c r="AD20" s="197"/>
      <c r="AE20" s="197"/>
      <c r="AF20" s="197"/>
      <c r="AG20" s="197"/>
      <c r="AH20" s="197"/>
      <c r="AI20" s="197"/>
      <c r="AJ20" s="197"/>
      <c r="AK20" s="198"/>
      <c r="AL20" s="154">
        <f ca="1">IFERROR(INDEX(AWAKASH!W$10:X$40,MATCH(AM20,AWAKASH!X$10:X$40,0),1),0)</f>
        <v>0</v>
      </c>
      <c r="AM20" s="155">
        <f t="shared" ca="1" si="1"/>
        <v>43623</v>
      </c>
      <c r="AN20" s="156" t="str">
        <f t="shared" ca="1" si="15"/>
        <v>Fri</v>
      </c>
      <c r="AO20" s="157" t="str">
        <f t="shared" ca="1" si="16"/>
        <v>दाल-रोटी</v>
      </c>
      <c r="AP20" s="203"/>
      <c r="AQ20" s="204"/>
      <c r="AR20" s="205"/>
      <c r="AS20" s="205"/>
      <c r="AT20" s="205"/>
      <c r="AU20" s="205"/>
      <c r="AV20" s="205"/>
      <c r="AW20" s="205"/>
      <c r="AX20" s="205"/>
      <c r="AY20" s="205"/>
      <c r="AZ20" s="204"/>
      <c r="BA20" s="205"/>
      <c r="BB20" s="205"/>
      <c r="BC20" s="205"/>
      <c r="BD20" s="205"/>
      <c r="BE20" s="205"/>
      <c r="BF20" s="205"/>
      <c r="BG20" s="205"/>
      <c r="BH20" s="205"/>
      <c r="BI20" s="205"/>
      <c r="BJ20" s="206"/>
      <c r="BK20" s="154">
        <f ca="1">IFERROR(INDEX(AWAKASH!AK$10:AL$40,MATCH(BL20,AWAKASH!AL$10:AL$40,0),1),0)</f>
        <v>0</v>
      </c>
      <c r="BL20" s="158">
        <f t="shared" ca="1" si="2"/>
        <v>43653</v>
      </c>
      <c r="BM20" s="159" t="str">
        <f t="shared" ca="1" si="17"/>
        <v>Sun</v>
      </c>
      <c r="BN20" s="160">
        <f t="shared" ca="1" si="18"/>
        <v>0</v>
      </c>
      <c r="BO20" s="211"/>
      <c r="BP20" s="212"/>
      <c r="BQ20" s="213"/>
      <c r="BR20" s="213"/>
      <c r="BS20" s="213"/>
      <c r="BT20" s="213"/>
      <c r="BU20" s="213"/>
      <c r="BV20" s="213"/>
      <c r="BW20" s="213"/>
      <c r="BX20" s="213"/>
      <c r="BY20" s="212"/>
      <c r="BZ20" s="213"/>
      <c r="CA20" s="213"/>
      <c r="CB20" s="213"/>
      <c r="CC20" s="213"/>
      <c r="CD20" s="213"/>
      <c r="CE20" s="213"/>
      <c r="CF20" s="213"/>
      <c r="CG20" s="213"/>
      <c r="CH20" s="213"/>
      <c r="CI20" s="214"/>
      <c r="CJ20" s="154">
        <f ca="1">IFERROR(INDEX(AWAKASH!AY$10:AZ$40,MATCH(CK20,AWAKASH!AZ$10:AZ$40,0),1),0)</f>
        <v>0</v>
      </c>
      <c r="CK20" s="161">
        <f t="shared" ca="1" si="3"/>
        <v>43684</v>
      </c>
      <c r="CL20" s="162" t="str">
        <f t="shared" ca="1" si="19"/>
        <v>Wed</v>
      </c>
      <c r="CM20" s="163" t="str">
        <f t="shared" ca="1" si="20"/>
        <v>दाल-रोटी</v>
      </c>
      <c r="CN20" s="219"/>
      <c r="CO20" s="220"/>
      <c r="CP20" s="221"/>
      <c r="CQ20" s="221"/>
      <c r="CR20" s="221"/>
      <c r="CS20" s="221"/>
      <c r="CT20" s="221"/>
      <c r="CU20" s="221"/>
      <c r="CV20" s="221"/>
      <c r="CW20" s="221"/>
      <c r="CX20" s="220"/>
      <c r="CY20" s="221"/>
      <c r="CZ20" s="221"/>
      <c r="DA20" s="221"/>
      <c r="DB20" s="221"/>
      <c r="DC20" s="221"/>
      <c r="DD20" s="221"/>
      <c r="DE20" s="221"/>
      <c r="DF20" s="221"/>
      <c r="DG20" s="221"/>
      <c r="DH20" s="222"/>
      <c r="DI20" s="154">
        <f ca="1">IFERROR(INDEX(AWAKASH!BM$10:BN$40,MATCH(DJ20,AWAKASH!BN$10:BN$40,0),1),0)</f>
        <v>0</v>
      </c>
      <c r="DJ20" s="164">
        <f t="shared" ca="1" si="4"/>
        <v>43715</v>
      </c>
      <c r="DK20" s="165" t="str">
        <f t="shared" ca="1" si="21"/>
        <v>Sat</v>
      </c>
      <c r="DL20" s="166" t="str">
        <f t="shared" ca="1" si="22"/>
        <v>सब्जी-रोटी</v>
      </c>
      <c r="DM20" s="227"/>
      <c r="DN20" s="228"/>
      <c r="DO20" s="229"/>
      <c r="DP20" s="229"/>
      <c r="DQ20" s="229"/>
      <c r="DR20" s="229"/>
      <c r="DS20" s="229"/>
      <c r="DT20" s="229"/>
      <c r="DU20" s="229"/>
      <c r="DV20" s="229"/>
      <c r="DW20" s="228"/>
      <c r="DX20" s="229"/>
      <c r="DY20" s="229"/>
      <c r="DZ20" s="229"/>
      <c r="EA20" s="229"/>
      <c r="EB20" s="229"/>
      <c r="EC20" s="229"/>
      <c r="ED20" s="229"/>
      <c r="EE20" s="229"/>
      <c r="EF20" s="229"/>
      <c r="EG20" s="230"/>
      <c r="EH20" s="154">
        <f ca="1">IFERROR(INDEX(AWAKASH!CA$10:CB$40,MATCH(EI20,AWAKASH!CB$10:CB$40,0),1),0)</f>
        <v>0</v>
      </c>
      <c r="EI20" s="167">
        <f t="shared" ca="1" si="5"/>
        <v>43745</v>
      </c>
      <c r="EJ20" s="168" t="str">
        <f t="shared" ca="1" si="23"/>
        <v>Mon</v>
      </c>
      <c r="EK20" s="169" t="str">
        <f t="shared" ca="1" si="24"/>
        <v>सब्जी-रोटी</v>
      </c>
      <c r="EL20" s="235"/>
      <c r="EM20" s="236"/>
      <c r="EN20" s="237"/>
      <c r="EO20" s="237"/>
      <c r="EP20" s="237"/>
      <c r="EQ20" s="237"/>
      <c r="ER20" s="237"/>
      <c r="ES20" s="237"/>
      <c r="ET20" s="237"/>
      <c r="EU20" s="237"/>
      <c r="EV20" s="236"/>
      <c r="EW20" s="237"/>
      <c r="EX20" s="237"/>
      <c r="EY20" s="237"/>
      <c r="EZ20" s="237"/>
      <c r="FA20" s="237"/>
      <c r="FB20" s="237"/>
      <c r="FC20" s="237"/>
      <c r="FD20" s="237"/>
      <c r="FE20" s="237"/>
      <c r="FF20" s="238"/>
      <c r="FG20" s="46">
        <f ca="1">IFERROR(INDEX(AWAKASH!FC$10:FD$40,MATCH(FH20,AWAKASH!FD$10:FD$40,0),1),0)</f>
        <v>0</v>
      </c>
      <c r="FH20" s="170">
        <f t="shared" ca="1" si="6"/>
        <v>43776</v>
      </c>
      <c r="FI20" s="171" t="str">
        <f t="shared" ca="1" si="25"/>
        <v>Thu</v>
      </c>
      <c r="FJ20" s="172" t="str">
        <f t="shared" ca="1" si="26"/>
        <v>खिचड़ी-सब्जी</v>
      </c>
      <c r="FK20" s="195"/>
      <c r="FL20" s="196"/>
      <c r="FM20" s="197"/>
      <c r="FN20" s="197"/>
      <c r="FO20" s="197"/>
      <c r="FP20" s="197"/>
      <c r="FQ20" s="197"/>
      <c r="FR20" s="197"/>
      <c r="FS20" s="197"/>
      <c r="FT20" s="197"/>
      <c r="FU20" s="196"/>
      <c r="FV20" s="197"/>
      <c r="FW20" s="197"/>
      <c r="FX20" s="197"/>
      <c r="FY20" s="197"/>
      <c r="FZ20" s="197"/>
      <c r="GA20" s="197"/>
      <c r="GB20" s="197"/>
      <c r="GC20" s="197"/>
      <c r="GD20" s="197"/>
      <c r="GE20" s="198"/>
      <c r="GF20" s="154">
        <f ca="1">IFERROR(INDEX(AWAKASH!FQ$10:FR$40,MATCH(GG20,AWAKASH!FR$10:FR$40,0),1),0)</f>
        <v>0</v>
      </c>
      <c r="GG20" s="155">
        <f t="shared" ca="1" si="7"/>
        <v>43806</v>
      </c>
      <c r="GH20" s="156" t="str">
        <f t="shared" ca="1" si="27"/>
        <v>Sat</v>
      </c>
      <c r="GI20" s="157" t="str">
        <f t="shared" ca="1" si="28"/>
        <v>सब्जी-रोटी</v>
      </c>
      <c r="GJ20" s="203"/>
      <c r="GK20" s="204"/>
      <c r="GL20" s="205"/>
      <c r="GM20" s="205"/>
      <c r="GN20" s="205"/>
      <c r="GO20" s="205"/>
      <c r="GP20" s="205"/>
      <c r="GQ20" s="205"/>
      <c r="GR20" s="205"/>
      <c r="GS20" s="205"/>
      <c r="GT20" s="204"/>
      <c r="GU20" s="205"/>
      <c r="GV20" s="205"/>
      <c r="GW20" s="205"/>
      <c r="GX20" s="205"/>
      <c r="GY20" s="205"/>
      <c r="GZ20" s="205"/>
      <c r="HA20" s="205"/>
      <c r="HB20" s="205"/>
      <c r="HC20" s="205"/>
      <c r="HD20" s="206"/>
      <c r="HE20" s="154">
        <f ca="1">IFERROR(INDEX(AWAKASH!GE$10:GF$40,MATCH(HF20,AWAKASH!GF$10:GF$40,0),1),0)</f>
        <v>0</v>
      </c>
      <c r="HF20" s="158">
        <f t="shared" ca="1" si="8"/>
        <v>43837</v>
      </c>
      <c r="HG20" s="159" t="str">
        <f t="shared" ca="1" si="29"/>
        <v>Tue</v>
      </c>
      <c r="HH20" s="160" t="str">
        <f t="shared" ca="1" si="30"/>
        <v>दाल-चावल</v>
      </c>
      <c r="HI20" s="211"/>
      <c r="HJ20" s="212"/>
      <c r="HK20" s="213"/>
      <c r="HL20" s="213"/>
      <c r="HM20" s="213"/>
      <c r="HN20" s="213"/>
      <c r="HO20" s="213"/>
      <c r="HP20" s="213"/>
      <c r="HQ20" s="213"/>
      <c r="HR20" s="213"/>
      <c r="HS20" s="212"/>
      <c r="HT20" s="213"/>
      <c r="HU20" s="213"/>
      <c r="HV20" s="213"/>
      <c r="HW20" s="213"/>
      <c r="HX20" s="213"/>
      <c r="HY20" s="213"/>
      <c r="HZ20" s="213"/>
      <c r="IA20" s="213"/>
      <c r="IB20" s="213"/>
      <c r="IC20" s="214"/>
      <c r="ID20" s="154">
        <f ca="1">IFERROR(INDEX(AWAKASH!GS$10:GT$40,MATCH(IE20,AWAKASH!GT$10:GT$40,0),1),0)</f>
        <v>0</v>
      </c>
      <c r="IE20" s="161">
        <f t="shared" ca="1" si="9"/>
        <v>0</v>
      </c>
      <c r="IF20" s="162" t="str">
        <f t="shared" ca="1" si="31"/>
        <v/>
      </c>
      <c r="IG20" s="163" t="str">
        <f t="shared" ca="1" si="32"/>
        <v/>
      </c>
      <c r="IH20" s="219"/>
      <c r="II20" s="220"/>
      <c r="IJ20" s="221"/>
      <c r="IK20" s="221"/>
      <c r="IL20" s="221"/>
      <c r="IM20" s="221"/>
      <c r="IN20" s="221"/>
      <c r="IO20" s="221"/>
      <c r="IP20" s="221"/>
      <c r="IQ20" s="221"/>
      <c r="IR20" s="220"/>
      <c r="IS20" s="221"/>
      <c r="IT20" s="221"/>
      <c r="IU20" s="221"/>
      <c r="IV20" s="221"/>
      <c r="IW20" s="221"/>
      <c r="IX20" s="221"/>
      <c r="IY20" s="221"/>
      <c r="IZ20" s="221"/>
      <c r="JA20" s="221"/>
      <c r="JB20" s="222"/>
      <c r="JC20" s="154">
        <f ca="1">IFERROR(INDEX(AWAKASH!HG$10:HH$40,MATCH(JD20,AWAKASH!HH$10:HH$40,0),1),0)</f>
        <v>0</v>
      </c>
      <c r="JD20" s="164">
        <f t="shared" ca="1" si="10"/>
        <v>0</v>
      </c>
      <c r="JE20" s="165" t="str">
        <f t="shared" ca="1" si="33"/>
        <v/>
      </c>
      <c r="JF20" s="166" t="str">
        <f t="shared" ca="1" si="34"/>
        <v/>
      </c>
      <c r="JG20" s="227"/>
      <c r="JH20" s="228"/>
      <c r="JI20" s="229"/>
      <c r="JJ20" s="229"/>
      <c r="JK20" s="229"/>
      <c r="JL20" s="229"/>
      <c r="JM20" s="229"/>
      <c r="JN20" s="229"/>
      <c r="JO20" s="229"/>
      <c r="JP20" s="229"/>
      <c r="JQ20" s="228"/>
      <c r="JR20" s="229"/>
      <c r="JS20" s="229"/>
      <c r="JT20" s="229"/>
      <c r="JU20" s="229"/>
      <c r="JV20" s="229"/>
      <c r="JW20" s="229"/>
      <c r="JX20" s="229"/>
      <c r="JY20" s="229"/>
      <c r="JZ20" s="229"/>
      <c r="KA20" s="230"/>
      <c r="KB20" s="154">
        <f ca="1">IFERROR(INDEX(AWAKASH!HU$10:HV$40,MATCH(KC20,AWAKASH!HV$10:HV$40,0),1),0)</f>
        <v>0</v>
      </c>
      <c r="KC20" s="167">
        <f t="shared" ca="1" si="11"/>
        <v>0</v>
      </c>
      <c r="KD20" s="168" t="str">
        <f t="shared" ca="1" si="35"/>
        <v/>
      </c>
      <c r="KE20" s="169" t="str">
        <f t="shared" ca="1" si="36"/>
        <v/>
      </c>
      <c r="KF20" s="235"/>
      <c r="KG20" s="236"/>
      <c r="KH20" s="237"/>
      <c r="KI20" s="237"/>
      <c r="KJ20" s="237"/>
      <c r="KK20" s="237"/>
      <c r="KL20" s="237"/>
      <c r="KM20" s="237"/>
      <c r="KN20" s="237"/>
      <c r="KO20" s="237"/>
      <c r="KP20" s="236"/>
      <c r="KQ20" s="237"/>
      <c r="KR20" s="237"/>
      <c r="KS20" s="237"/>
      <c r="KT20" s="237"/>
      <c r="KU20" s="237"/>
      <c r="KV20" s="237"/>
      <c r="KW20" s="237"/>
      <c r="KX20" s="237"/>
      <c r="KY20" s="237"/>
      <c r="KZ20" s="238"/>
      <c r="LA20" s="46"/>
    </row>
    <row r="21" spans="1:313" ht="20.100000000000001" customHeight="1" x14ac:dyDescent="0.25">
      <c r="A21" s="3">
        <v>8</v>
      </c>
      <c r="B21" s="3" t="str">
        <f>HOME!H14</f>
        <v>दिसम्बर</v>
      </c>
      <c r="C21" s="3">
        <f>HOME!I14</f>
        <v>2019</v>
      </c>
      <c r="D21" s="3">
        <f t="shared" si="12"/>
        <v>12</v>
      </c>
      <c r="E21" s="3" t="s">
        <v>133</v>
      </c>
      <c r="F21" s="3">
        <v>8</v>
      </c>
      <c r="M21" s="46">
        <f ca="1">IFERROR(INDEX(AWAKASH!I$10:J$40,MATCH(N21,AWAKASH!J$10:J$40,0),1),0)</f>
        <v>0</v>
      </c>
      <c r="N21" s="170">
        <f t="shared" ca="1" si="0"/>
        <v>43593</v>
      </c>
      <c r="O21" s="171" t="str">
        <f t="shared" ca="1" si="13"/>
        <v>Wed</v>
      </c>
      <c r="P21" s="172" t="str">
        <f t="shared" ca="1" si="14"/>
        <v>दाल-रोटी</v>
      </c>
      <c r="Q21" s="195"/>
      <c r="R21" s="196"/>
      <c r="S21" s="193"/>
      <c r="T21" s="197"/>
      <c r="U21" s="197"/>
      <c r="V21" s="197"/>
      <c r="W21" s="197"/>
      <c r="X21" s="197"/>
      <c r="Y21" s="197"/>
      <c r="Z21" s="197"/>
      <c r="AA21" s="196"/>
      <c r="AB21" s="197"/>
      <c r="AC21" s="197"/>
      <c r="AD21" s="197"/>
      <c r="AE21" s="197"/>
      <c r="AF21" s="197"/>
      <c r="AG21" s="197"/>
      <c r="AH21" s="197"/>
      <c r="AI21" s="197"/>
      <c r="AJ21" s="197"/>
      <c r="AK21" s="198"/>
      <c r="AL21" s="154">
        <f ca="1">IFERROR(INDEX(AWAKASH!W$10:X$40,MATCH(AM21,AWAKASH!X$10:X$40,0),1),0)</f>
        <v>0</v>
      </c>
      <c r="AM21" s="155">
        <f t="shared" ca="1" si="1"/>
        <v>43624</v>
      </c>
      <c r="AN21" s="156" t="str">
        <f t="shared" ca="1" si="15"/>
        <v>Sat</v>
      </c>
      <c r="AO21" s="157" t="str">
        <f t="shared" ca="1" si="16"/>
        <v>सब्जी-रोटी</v>
      </c>
      <c r="AP21" s="203"/>
      <c r="AQ21" s="204"/>
      <c r="AR21" s="205"/>
      <c r="AS21" s="205"/>
      <c r="AT21" s="205"/>
      <c r="AU21" s="205"/>
      <c r="AV21" s="205"/>
      <c r="AW21" s="205"/>
      <c r="AX21" s="205"/>
      <c r="AY21" s="205"/>
      <c r="AZ21" s="204"/>
      <c r="BA21" s="205"/>
      <c r="BB21" s="205"/>
      <c r="BC21" s="205"/>
      <c r="BD21" s="205"/>
      <c r="BE21" s="205"/>
      <c r="BF21" s="205"/>
      <c r="BG21" s="205"/>
      <c r="BH21" s="205"/>
      <c r="BI21" s="205"/>
      <c r="BJ21" s="206"/>
      <c r="BK21" s="154">
        <f ca="1">IFERROR(INDEX(AWAKASH!AK$10:AL$40,MATCH(BL21,AWAKASH!AL$10:AL$40,0),1),0)</f>
        <v>0</v>
      </c>
      <c r="BL21" s="158">
        <f t="shared" ca="1" si="2"/>
        <v>43654</v>
      </c>
      <c r="BM21" s="159" t="str">
        <f t="shared" ca="1" si="17"/>
        <v>Mon</v>
      </c>
      <c r="BN21" s="160" t="str">
        <f t="shared" ca="1" si="18"/>
        <v>सब्जी-रोटी</v>
      </c>
      <c r="BO21" s="211"/>
      <c r="BP21" s="212"/>
      <c r="BQ21" s="213"/>
      <c r="BR21" s="213"/>
      <c r="BS21" s="213"/>
      <c r="BT21" s="213"/>
      <c r="BU21" s="213"/>
      <c r="BV21" s="213"/>
      <c r="BW21" s="213"/>
      <c r="BX21" s="213"/>
      <c r="BY21" s="212"/>
      <c r="BZ21" s="213"/>
      <c r="CA21" s="213"/>
      <c r="CB21" s="213"/>
      <c r="CC21" s="213"/>
      <c r="CD21" s="213"/>
      <c r="CE21" s="213"/>
      <c r="CF21" s="213"/>
      <c r="CG21" s="213"/>
      <c r="CH21" s="213"/>
      <c r="CI21" s="214"/>
      <c r="CJ21" s="154">
        <f ca="1">IFERROR(INDEX(AWAKASH!AY$10:AZ$40,MATCH(CK21,AWAKASH!AZ$10:AZ$40,0),1),0)</f>
        <v>0</v>
      </c>
      <c r="CK21" s="161">
        <f t="shared" ca="1" si="3"/>
        <v>43685</v>
      </c>
      <c r="CL21" s="162" t="str">
        <f t="shared" ca="1" si="19"/>
        <v>Thu</v>
      </c>
      <c r="CM21" s="163" t="str">
        <f t="shared" ca="1" si="20"/>
        <v>खिचड़ी-सब्जी</v>
      </c>
      <c r="CN21" s="219"/>
      <c r="CO21" s="220"/>
      <c r="CP21" s="221"/>
      <c r="CQ21" s="221"/>
      <c r="CR21" s="221"/>
      <c r="CS21" s="221"/>
      <c r="CT21" s="221"/>
      <c r="CU21" s="221"/>
      <c r="CV21" s="221"/>
      <c r="CW21" s="221"/>
      <c r="CX21" s="220"/>
      <c r="CY21" s="221"/>
      <c r="CZ21" s="221"/>
      <c r="DA21" s="221"/>
      <c r="DB21" s="221"/>
      <c r="DC21" s="221"/>
      <c r="DD21" s="221"/>
      <c r="DE21" s="221"/>
      <c r="DF21" s="221"/>
      <c r="DG21" s="221"/>
      <c r="DH21" s="222"/>
      <c r="DI21" s="154">
        <f ca="1">IFERROR(INDEX(AWAKASH!BM$10:BN$40,MATCH(DJ21,AWAKASH!BN$10:BN$40,0),1),0)</f>
        <v>0</v>
      </c>
      <c r="DJ21" s="164">
        <f t="shared" ca="1" si="4"/>
        <v>43716</v>
      </c>
      <c r="DK21" s="165" t="str">
        <f t="shared" ca="1" si="21"/>
        <v>Sun</v>
      </c>
      <c r="DL21" s="166">
        <f t="shared" ca="1" si="22"/>
        <v>0</v>
      </c>
      <c r="DM21" s="227"/>
      <c r="DN21" s="228"/>
      <c r="DO21" s="229"/>
      <c r="DP21" s="229"/>
      <c r="DQ21" s="229"/>
      <c r="DR21" s="229"/>
      <c r="DS21" s="229"/>
      <c r="DT21" s="229"/>
      <c r="DU21" s="229"/>
      <c r="DV21" s="229"/>
      <c r="DW21" s="228"/>
      <c r="DX21" s="229"/>
      <c r="DY21" s="229"/>
      <c r="DZ21" s="229"/>
      <c r="EA21" s="229"/>
      <c r="EB21" s="229"/>
      <c r="EC21" s="229"/>
      <c r="ED21" s="229"/>
      <c r="EE21" s="229"/>
      <c r="EF21" s="229"/>
      <c r="EG21" s="230"/>
      <c r="EH21" s="154">
        <f ca="1">IFERROR(INDEX(AWAKASH!CA$10:CB$40,MATCH(EI21,AWAKASH!CB$10:CB$40,0),1),0)</f>
        <v>0</v>
      </c>
      <c r="EI21" s="167">
        <f t="shared" ca="1" si="5"/>
        <v>43746</v>
      </c>
      <c r="EJ21" s="168" t="str">
        <f t="shared" ca="1" si="23"/>
        <v>Tue</v>
      </c>
      <c r="EK21" s="169" t="str">
        <f t="shared" ca="1" si="24"/>
        <v>दाल-चावल</v>
      </c>
      <c r="EL21" s="235"/>
      <c r="EM21" s="236"/>
      <c r="EN21" s="237"/>
      <c r="EO21" s="237"/>
      <c r="EP21" s="237"/>
      <c r="EQ21" s="237"/>
      <c r="ER21" s="237"/>
      <c r="ES21" s="237"/>
      <c r="ET21" s="237"/>
      <c r="EU21" s="237"/>
      <c r="EV21" s="236"/>
      <c r="EW21" s="237"/>
      <c r="EX21" s="237"/>
      <c r="EY21" s="237"/>
      <c r="EZ21" s="237"/>
      <c r="FA21" s="237"/>
      <c r="FB21" s="237"/>
      <c r="FC21" s="237"/>
      <c r="FD21" s="237"/>
      <c r="FE21" s="237"/>
      <c r="FF21" s="238"/>
      <c r="FG21" s="46">
        <f ca="1">IFERROR(INDEX(AWAKASH!FC$10:FD$40,MATCH(FH21,AWAKASH!FD$10:FD$40,0),1),0)</f>
        <v>0</v>
      </c>
      <c r="FH21" s="170">
        <f t="shared" ca="1" si="6"/>
        <v>43777</v>
      </c>
      <c r="FI21" s="171" t="str">
        <f t="shared" ca="1" si="25"/>
        <v>Fri</v>
      </c>
      <c r="FJ21" s="172" t="str">
        <f t="shared" ca="1" si="26"/>
        <v>दाल-रोटी</v>
      </c>
      <c r="FK21" s="195"/>
      <c r="FL21" s="196"/>
      <c r="FM21" s="197"/>
      <c r="FN21" s="197"/>
      <c r="FO21" s="197"/>
      <c r="FP21" s="197"/>
      <c r="FQ21" s="197"/>
      <c r="FR21" s="197"/>
      <c r="FS21" s="197"/>
      <c r="FT21" s="197"/>
      <c r="FU21" s="196"/>
      <c r="FV21" s="197"/>
      <c r="FW21" s="197"/>
      <c r="FX21" s="197"/>
      <c r="FY21" s="197"/>
      <c r="FZ21" s="197"/>
      <c r="GA21" s="197"/>
      <c r="GB21" s="197"/>
      <c r="GC21" s="197"/>
      <c r="GD21" s="197"/>
      <c r="GE21" s="198"/>
      <c r="GF21" s="154">
        <f ca="1">IFERROR(INDEX(AWAKASH!FQ$10:FR$40,MATCH(GG21,AWAKASH!FR$10:FR$40,0),1),0)</f>
        <v>0</v>
      </c>
      <c r="GG21" s="155">
        <f t="shared" ca="1" si="7"/>
        <v>43807</v>
      </c>
      <c r="GH21" s="156" t="str">
        <f t="shared" ca="1" si="27"/>
        <v>Sun</v>
      </c>
      <c r="GI21" s="157">
        <f t="shared" ca="1" si="28"/>
        <v>0</v>
      </c>
      <c r="GJ21" s="203"/>
      <c r="GK21" s="204"/>
      <c r="GL21" s="205"/>
      <c r="GM21" s="205"/>
      <c r="GN21" s="205"/>
      <c r="GO21" s="205"/>
      <c r="GP21" s="205"/>
      <c r="GQ21" s="205"/>
      <c r="GR21" s="205"/>
      <c r="GS21" s="205"/>
      <c r="GT21" s="204"/>
      <c r="GU21" s="205"/>
      <c r="GV21" s="205"/>
      <c r="GW21" s="205"/>
      <c r="GX21" s="205"/>
      <c r="GY21" s="205"/>
      <c r="GZ21" s="205"/>
      <c r="HA21" s="205"/>
      <c r="HB21" s="205"/>
      <c r="HC21" s="205"/>
      <c r="HD21" s="206"/>
      <c r="HE21" s="154">
        <f ca="1">IFERROR(INDEX(AWAKASH!GE$10:GF$40,MATCH(HF21,AWAKASH!GF$10:GF$40,0),1),0)</f>
        <v>0</v>
      </c>
      <c r="HF21" s="158">
        <f t="shared" ca="1" si="8"/>
        <v>43838</v>
      </c>
      <c r="HG21" s="159" t="str">
        <f t="shared" ca="1" si="29"/>
        <v>Wed</v>
      </c>
      <c r="HH21" s="160" t="str">
        <f t="shared" ca="1" si="30"/>
        <v>दाल-रोटी</v>
      </c>
      <c r="HI21" s="211"/>
      <c r="HJ21" s="212"/>
      <c r="HK21" s="213"/>
      <c r="HL21" s="213"/>
      <c r="HM21" s="213"/>
      <c r="HN21" s="213"/>
      <c r="HO21" s="213"/>
      <c r="HP21" s="213"/>
      <c r="HQ21" s="213"/>
      <c r="HR21" s="213"/>
      <c r="HS21" s="212"/>
      <c r="HT21" s="213"/>
      <c r="HU21" s="213"/>
      <c r="HV21" s="213"/>
      <c r="HW21" s="213"/>
      <c r="HX21" s="213"/>
      <c r="HY21" s="213"/>
      <c r="HZ21" s="213"/>
      <c r="IA21" s="213"/>
      <c r="IB21" s="213"/>
      <c r="IC21" s="214"/>
      <c r="ID21" s="154">
        <f ca="1">IFERROR(INDEX(AWAKASH!GS$10:GT$40,MATCH(IE21,AWAKASH!GT$10:GT$40,0),1),0)</f>
        <v>0</v>
      </c>
      <c r="IE21" s="161">
        <f t="shared" ca="1" si="9"/>
        <v>0</v>
      </c>
      <c r="IF21" s="162" t="str">
        <f t="shared" ca="1" si="31"/>
        <v/>
      </c>
      <c r="IG21" s="163" t="str">
        <f t="shared" ca="1" si="32"/>
        <v/>
      </c>
      <c r="IH21" s="219"/>
      <c r="II21" s="220"/>
      <c r="IJ21" s="221"/>
      <c r="IK21" s="221"/>
      <c r="IL21" s="221"/>
      <c r="IM21" s="221"/>
      <c r="IN21" s="221"/>
      <c r="IO21" s="221"/>
      <c r="IP21" s="221"/>
      <c r="IQ21" s="221"/>
      <c r="IR21" s="220"/>
      <c r="IS21" s="221"/>
      <c r="IT21" s="221"/>
      <c r="IU21" s="221"/>
      <c r="IV21" s="221"/>
      <c r="IW21" s="221"/>
      <c r="IX21" s="221"/>
      <c r="IY21" s="221"/>
      <c r="IZ21" s="221"/>
      <c r="JA21" s="221"/>
      <c r="JB21" s="222"/>
      <c r="JC21" s="154">
        <f ca="1">IFERROR(INDEX(AWAKASH!HG$10:HH$40,MATCH(JD21,AWAKASH!HH$10:HH$40,0),1),0)</f>
        <v>0</v>
      </c>
      <c r="JD21" s="164">
        <f t="shared" ca="1" si="10"/>
        <v>0</v>
      </c>
      <c r="JE21" s="165" t="str">
        <f t="shared" ca="1" si="33"/>
        <v/>
      </c>
      <c r="JF21" s="166" t="str">
        <f t="shared" ca="1" si="34"/>
        <v/>
      </c>
      <c r="JG21" s="227"/>
      <c r="JH21" s="228"/>
      <c r="JI21" s="229"/>
      <c r="JJ21" s="229"/>
      <c r="JK21" s="229"/>
      <c r="JL21" s="229"/>
      <c r="JM21" s="229"/>
      <c r="JN21" s="229"/>
      <c r="JO21" s="229"/>
      <c r="JP21" s="229"/>
      <c r="JQ21" s="228"/>
      <c r="JR21" s="229"/>
      <c r="JS21" s="229"/>
      <c r="JT21" s="229"/>
      <c r="JU21" s="229"/>
      <c r="JV21" s="229"/>
      <c r="JW21" s="229"/>
      <c r="JX21" s="229"/>
      <c r="JY21" s="229"/>
      <c r="JZ21" s="229"/>
      <c r="KA21" s="230"/>
      <c r="KB21" s="154">
        <f ca="1">IFERROR(INDEX(AWAKASH!HU$10:HV$40,MATCH(KC21,AWAKASH!HV$10:HV$40,0),1),0)</f>
        <v>0</v>
      </c>
      <c r="KC21" s="167">
        <f t="shared" ca="1" si="11"/>
        <v>0</v>
      </c>
      <c r="KD21" s="168" t="str">
        <f t="shared" ca="1" si="35"/>
        <v/>
      </c>
      <c r="KE21" s="169" t="str">
        <f t="shared" ca="1" si="36"/>
        <v/>
      </c>
      <c r="KF21" s="235"/>
      <c r="KG21" s="236"/>
      <c r="KH21" s="237"/>
      <c r="KI21" s="237"/>
      <c r="KJ21" s="237"/>
      <c r="KK21" s="237"/>
      <c r="KL21" s="237"/>
      <c r="KM21" s="237"/>
      <c r="KN21" s="237"/>
      <c r="KO21" s="237"/>
      <c r="KP21" s="236"/>
      <c r="KQ21" s="237"/>
      <c r="KR21" s="237"/>
      <c r="KS21" s="237"/>
      <c r="KT21" s="237"/>
      <c r="KU21" s="237"/>
      <c r="KV21" s="237"/>
      <c r="KW21" s="237"/>
      <c r="KX21" s="237"/>
      <c r="KY21" s="237"/>
      <c r="KZ21" s="238"/>
      <c r="LA21" s="46"/>
    </row>
    <row r="22" spans="1:313" ht="20.100000000000001" customHeight="1" x14ac:dyDescent="0.25">
      <c r="A22" s="3">
        <v>9</v>
      </c>
      <c r="B22" s="3" t="str">
        <f>HOME!H15</f>
        <v>जनवरी</v>
      </c>
      <c r="C22" s="3">
        <f>HOME!I15</f>
        <v>2020</v>
      </c>
      <c r="D22" s="3">
        <f t="shared" si="12"/>
        <v>1</v>
      </c>
      <c r="E22" s="3" t="s">
        <v>134</v>
      </c>
      <c r="F22" s="3">
        <v>9</v>
      </c>
      <c r="M22" s="46">
        <f ca="1">IFERROR(INDEX(AWAKASH!I$10:J$40,MATCH(N22,AWAKASH!J$10:J$40,0),1),0)</f>
        <v>0</v>
      </c>
      <c r="N22" s="170">
        <f t="shared" ca="1" si="0"/>
        <v>43594</v>
      </c>
      <c r="O22" s="171" t="str">
        <f t="shared" ca="1" si="13"/>
        <v>Thu</v>
      </c>
      <c r="P22" s="172" t="str">
        <f t="shared" ca="1" si="14"/>
        <v>खिचड़ी-सब्जी</v>
      </c>
      <c r="Q22" s="195"/>
      <c r="R22" s="196"/>
      <c r="S22" s="193"/>
      <c r="T22" s="197"/>
      <c r="U22" s="197"/>
      <c r="V22" s="197"/>
      <c r="W22" s="197"/>
      <c r="X22" s="197"/>
      <c r="Y22" s="197"/>
      <c r="Z22" s="197"/>
      <c r="AA22" s="196"/>
      <c r="AB22" s="197"/>
      <c r="AC22" s="197"/>
      <c r="AD22" s="197"/>
      <c r="AE22" s="197"/>
      <c r="AF22" s="197"/>
      <c r="AG22" s="197"/>
      <c r="AH22" s="197"/>
      <c r="AI22" s="197"/>
      <c r="AJ22" s="197"/>
      <c r="AK22" s="198"/>
      <c r="AL22" s="154">
        <f ca="1">IFERROR(INDEX(AWAKASH!W$10:X$40,MATCH(AM22,AWAKASH!X$10:X$40,0),1),0)</f>
        <v>0</v>
      </c>
      <c r="AM22" s="155">
        <f t="shared" ca="1" si="1"/>
        <v>43625</v>
      </c>
      <c r="AN22" s="156" t="str">
        <f t="shared" ca="1" si="15"/>
        <v>Sun</v>
      </c>
      <c r="AO22" s="157">
        <f t="shared" ca="1" si="16"/>
        <v>0</v>
      </c>
      <c r="AP22" s="203"/>
      <c r="AQ22" s="204"/>
      <c r="AR22" s="205"/>
      <c r="AS22" s="205"/>
      <c r="AT22" s="205"/>
      <c r="AU22" s="205"/>
      <c r="AV22" s="205"/>
      <c r="AW22" s="205"/>
      <c r="AX22" s="205"/>
      <c r="AY22" s="205"/>
      <c r="AZ22" s="204"/>
      <c r="BA22" s="205"/>
      <c r="BB22" s="205"/>
      <c r="BC22" s="205"/>
      <c r="BD22" s="205"/>
      <c r="BE22" s="205"/>
      <c r="BF22" s="205"/>
      <c r="BG22" s="205"/>
      <c r="BH22" s="205"/>
      <c r="BI22" s="205"/>
      <c r="BJ22" s="206"/>
      <c r="BK22" s="154">
        <f ca="1">IFERROR(INDEX(AWAKASH!AK$10:AL$40,MATCH(BL22,AWAKASH!AL$10:AL$40,0),1),0)</f>
        <v>0</v>
      </c>
      <c r="BL22" s="158">
        <f t="shared" ca="1" si="2"/>
        <v>43655</v>
      </c>
      <c r="BM22" s="159" t="str">
        <f t="shared" ca="1" si="17"/>
        <v>Tue</v>
      </c>
      <c r="BN22" s="160" t="str">
        <f t="shared" ca="1" si="18"/>
        <v>दाल-चावल</v>
      </c>
      <c r="BO22" s="211"/>
      <c r="BP22" s="212"/>
      <c r="BQ22" s="213"/>
      <c r="BR22" s="213"/>
      <c r="BS22" s="213"/>
      <c r="BT22" s="213"/>
      <c r="BU22" s="213"/>
      <c r="BV22" s="213"/>
      <c r="BW22" s="213"/>
      <c r="BX22" s="213"/>
      <c r="BY22" s="212"/>
      <c r="BZ22" s="213"/>
      <c r="CA22" s="213"/>
      <c r="CB22" s="213"/>
      <c r="CC22" s="213"/>
      <c r="CD22" s="213"/>
      <c r="CE22" s="213"/>
      <c r="CF22" s="213"/>
      <c r="CG22" s="213"/>
      <c r="CH22" s="213"/>
      <c r="CI22" s="214"/>
      <c r="CJ22" s="154">
        <f ca="1">IFERROR(INDEX(AWAKASH!AY$10:AZ$40,MATCH(CK22,AWAKASH!AZ$10:AZ$40,0),1),0)</f>
        <v>0</v>
      </c>
      <c r="CK22" s="161">
        <f t="shared" ca="1" si="3"/>
        <v>43686</v>
      </c>
      <c r="CL22" s="162" t="str">
        <f t="shared" ca="1" si="19"/>
        <v>Fri</v>
      </c>
      <c r="CM22" s="163" t="str">
        <f t="shared" ca="1" si="20"/>
        <v>दाल-रोटी</v>
      </c>
      <c r="CN22" s="219"/>
      <c r="CO22" s="220"/>
      <c r="CP22" s="221"/>
      <c r="CQ22" s="221"/>
      <c r="CR22" s="221"/>
      <c r="CS22" s="221"/>
      <c r="CT22" s="221"/>
      <c r="CU22" s="221"/>
      <c r="CV22" s="221"/>
      <c r="CW22" s="221"/>
      <c r="CX22" s="220"/>
      <c r="CY22" s="221"/>
      <c r="CZ22" s="221"/>
      <c r="DA22" s="221"/>
      <c r="DB22" s="221"/>
      <c r="DC22" s="221"/>
      <c r="DD22" s="221"/>
      <c r="DE22" s="221"/>
      <c r="DF22" s="221"/>
      <c r="DG22" s="221"/>
      <c r="DH22" s="222"/>
      <c r="DI22" s="154">
        <f ca="1">IFERROR(INDEX(AWAKASH!BM$10:BN$40,MATCH(DJ22,AWAKASH!BN$10:BN$40,0),1),0)</f>
        <v>0</v>
      </c>
      <c r="DJ22" s="164">
        <f t="shared" ca="1" si="4"/>
        <v>43717</v>
      </c>
      <c r="DK22" s="165" t="str">
        <f t="shared" ca="1" si="21"/>
        <v>Mon</v>
      </c>
      <c r="DL22" s="166" t="str">
        <f t="shared" ca="1" si="22"/>
        <v>सब्जी-रोटी</v>
      </c>
      <c r="DM22" s="227"/>
      <c r="DN22" s="228"/>
      <c r="DO22" s="229"/>
      <c r="DP22" s="229"/>
      <c r="DQ22" s="229"/>
      <c r="DR22" s="229"/>
      <c r="DS22" s="229"/>
      <c r="DT22" s="229"/>
      <c r="DU22" s="229"/>
      <c r="DV22" s="229"/>
      <c r="DW22" s="228"/>
      <c r="DX22" s="229"/>
      <c r="DY22" s="229"/>
      <c r="DZ22" s="229"/>
      <c r="EA22" s="229"/>
      <c r="EB22" s="229"/>
      <c r="EC22" s="229"/>
      <c r="ED22" s="229"/>
      <c r="EE22" s="229"/>
      <c r="EF22" s="229"/>
      <c r="EG22" s="230"/>
      <c r="EH22" s="154">
        <f ca="1">IFERROR(INDEX(AWAKASH!CA$10:CB$40,MATCH(EI22,AWAKASH!CB$10:CB$40,0),1),0)</f>
        <v>0</v>
      </c>
      <c r="EI22" s="167">
        <f t="shared" ca="1" si="5"/>
        <v>43747</v>
      </c>
      <c r="EJ22" s="168" t="str">
        <f t="shared" ca="1" si="23"/>
        <v>Wed</v>
      </c>
      <c r="EK22" s="169" t="str">
        <f t="shared" ca="1" si="24"/>
        <v>दाल-रोटी</v>
      </c>
      <c r="EL22" s="235"/>
      <c r="EM22" s="236"/>
      <c r="EN22" s="237"/>
      <c r="EO22" s="237"/>
      <c r="EP22" s="237"/>
      <c r="EQ22" s="237"/>
      <c r="ER22" s="237"/>
      <c r="ES22" s="237"/>
      <c r="ET22" s="237"/>
      <c r="EU22" s="237"/>
      <c r="EV22" s="236"/>
      <c r="EW22" s="237"/>
      <c r="EX22" s="237"/>
      <c r="EY22" s="237"/>
      <c r="EZ22" s="237"/>
      <c r="FA22" s="237"/>
      <c r="FB22" s="237"/>
      <c r="FC22" s="237"/>
      <c r="FD22" s="237"/>
      <c r="FE22" s="237"/>
      <c r="FF22" s="238"/>
      <c r="FG22" s="46">
        <f ca="1">IFERROR(INDEX(AWAKASH!FC$10:FD$40,MATCH(FH22,AWAKASH!FD$10:FD$40,0),1),0)</f>
        <v>0</v>
      </c>
      <c r="FH22" s="170">
        <f t="shared" ca="1" si="6"/>
        <v>43778</v>
      </c>
      <c r="FI22" s="171" t="str">
        <f t="shared" ca="1" si="25"/>
        <v>Sat</v>
      </c>
      <c r="FJ22" s="172" t="str">
        <f t="shared" ca="1" si="26"/>
        <v>सब्जी-रोटी</v>
      </c>
      <c r="FK22" s="195"/>
      <c r="FL22" s="196"/>
      <c r="FM22" s="197"/>
      <c r="FN22" s="197"/>
      <c r="FO22" s="197"/>
      <c r="FP22" s="197"/>
      <c r="FQ22" s="197"/>
      <c r="FR22" s="197"/>
      <c r="FS22" s="197"/>
      <c r="FT22" s="197"/>
      <c r="FU22" s="196"/>
      <c r="FV22" s="197"/>
      <c r="FW22" s="197"/>
      <c r="FX22" s="197"/>
      <c r="FY22" s="197"/>
      <c r="FZ22" s="197"/>
      <c r="GA22" s="197"/>
      <c r="GB22" s="197"/>
      <c r="GC22" s="197"/>
      <c r="GD22" s="197"/>
      <c r="GE22" s="198"/>
      <c r="GF22" s="154">
        <f ca="1">IFERROR(INDEX(AWAKASH!FQ$10:FR$40,MATCH(GG22,AWAKASH!FR$10:FR$40,0),1),0)</f>
        <v>0</v>
      </c>
      <c r="GG22" s="155">
        <f t="shared" ca="1" si="7"/>
        <v>43808</v>
      </c>
      <c r="GH22" s="156" t="str">
        <f t="shared" ca="1" si="27"/>
        <v>Mon</v>
      </c>
      <c r="GI22" s="157" t="str">
        <f t="shared" ca="1" si="28"/>
        <v>सब्जी-रोटी</v>
      </c>
      <c r="GJ22" s="203"/>
      <c r="GK22" s="204"/>
      <c r="GL22" s="205"/>
      <c r="GM22" s="205"/>
      <c r="GN22" s="205"/>
      <c r="GO22" s="205"/>
      <c r="GP22" s="205"/>
      <c r="GQ22" s="205"/>
      <c r="GR22" s="205"/>
      <c r="GS22" s="205"/>
      <c r="GT22" s="204"/>
      <c r="GU22" s="205"/>
      <c r="GV22" s="205"/>
      <c r="GW22" s="205"/>
      <c r="GX22" s="205"/>
      <c r="GY22" s="205"/>
      <c r="GZ22" s="205"/>
      <c r="HA22" s="205"/>
      <c r="HB22" s="205"/>
      <c r="HC22" s="205"/>
      <c r="HD22" s="206"/>
      <c r="HE22" s="154">
        <f ca="1">IFERROR(INDEX(AWAKASH!GE$10:GF$40,MATCH(HF22,AWAKASH!GF$10:GF$40,0),1),0)</f>
        <v>0</v>
      </c>
      <c r="HF22" s="158">
        <f t="shared" ca="1" si="8"/>
        <v>43839</v>
      </c>
      <c r="HG22" s="159" t="str">
        <f t="shared" ca="1" si="29"/>
        <v>Thu</v>
      </c>
      <c r="HH22" s="160" t="str">
        <f t="shared" ca="1" si="30"/>
        <v>खिचड़ी-सब्जी</v>
      </c>
      <c r="HI22" s="211"/>
      <c r="HJ22" s="212"/>
      <c r="HK22" s="213"/>
      <c r="HL22" s="213"/>
      <c r="HM22" s="213"/>
      <c r="HN22" s="213"/>
      <c r="HO22" s="213"/>
      <c r="HP22" s="213"/>
      <c r="HQ22" s="213"/>
      <c r="HR22" s="213"/>
      <c r="HS22" s="212"/>
      <c r="HT22" s="213"/>
      <c r="HU22" s="213"/>
      <c r="HV22" s="213"/>
      <c r="HW22" s="213"/>
      <c r="HX22" s="213"/>
      <c r="HY22" s="213"/>
      <c r="HZ22" s="213"/>
      <c r="IA22" s="213"/>
      <c r="IB22" s="213"/>
      <c r="IC22" s="214"/>
      <c r="ID22" s="154">
        <f ca="1">IFERROR(INDEX(AWAKASH!GS$10:GT$40,MATCH(IE22,AWAKASH!GT$10:GT$40,0),1),0)</f>
        <v>0</v>
      </c>
      <c r="IE22" s="161">
        <f t="shared" ca="1" si="9"/>
        <v>0</v>
      </c>
      <c r="IF22" s="162" t="str">
        <f t="shared" ca="1" si="31"/>
        <v/>
      </c>
      <c r="IG22" s="163" t="str">
        <f t="shared" ca="1" si="32"/>
        <v/>
      </c>
      <c r="IH22" s="219"/>
      <c r="II22" s="220"/>
      <c r="IJ22" s="221"/>
      <c r="IK22" s="221"/>
      <c r="IL22" s="221"/>
      <c r="IM22" s="221"/>
      <c r="IN22" s="221"/>
      <c r="IO22" s="221"/>
      <c r="IP22" s="221"/>
      <c r="IQ22" s="221"/>
      <c r="IR22" s="220"/>
      <c r="IS22" s="221"/>
      <c r="IT22" s="221"/>
      <c r="IU22" s="221"/>
      <c r="IV22" s="221"/>
      <c r="IW22" s="221"/>
      <c r="IX22" s="221"/>
      <c r="IY22" s="221"/>
      <c r="IZ22" s="221"/>
      <c r="JA22" s="221"/>
      <c r="JB22" s="222"/>
      <c r="JC22" s="154">
        <f ca="1">IFERROR(INDEX(AWAKASH!HG$10:HH$40,MATCH(JD22,AWAKASH!HH$10:HH$40,0),1),0)</f>
        <v>0</v>
      </c>
      <c r="JD22" s="164">
        <f t="shared" ca="1" si="10"/>
        <v>0</v>
      </c>
      <c r="JE22" s="165" t="str">
        <f t="shared" ca="1" si="33"/>
        <v/>
      </c>
      <c r="JF22" s="166" t="str">
        <f t="shared" ca="1" si="34"/>
        <v/>
      </c>
      <c r="JG22" s="227"/>
      <c r="JH22" s="228"/>
      <c r="JI22" s="229"/>
      <c r="JJ22" s="229"/>
      <c r="JK22" s="229"/>
      <c r="JL22" s="229"/>
      <c r="JM22" s="229"/>
      <c r="JN22" s="229"/>
      <c r="JO22" s="229"/>
      <c r="JP22" s="229"/>
      <c r="JQ22" s="228"/>
      <c r="JR22" s="229"/>
      <c r="JS22" s="229"/>
      <c r="JT22" s="229"/>
      <c r="JU22" s="229"/>
      <c r="JV22" s="229"/>
      <c r="JW22" s="229"/>
      <c r="JX22" s="229"/>
      <c r="JY22" s="229"/>
      <c r="JZ22" s="229"/>
      <c r="KA22" s="230"/>
      <c r="KB22" s="154">
        <f ca="1">IFERROR(INDEX(AWAKASH!HU$10:HV$40,MATCH(KC22,AWAKASH!HV$10:HV$40,0),1),0)</f>
        <v>0</v>
      </c>
      <c r="KC22" s="167">
        <f t="shared" ca="1" si="11"/>
        <v>0</v>
      </c>
      <c r="KD22" s="168" t="str">
        <f t="shared" ca="1" si="35"/>
        <v/>
      </c>
      <c r="KE22" s="169" t="str">
        <f t="shared" ca="1" si="36"/>
        <v/>
      </c>
      <c r="KF22" s="235"/>
      <c r="KG22" s="236"/>
      <c r="KH22" s="237"/>
      <c r="KI22" s="237"/>
      <c r="KJ22" s="237"/>
      <c r="KK22" s="237"/>
      <c r="KL22" s="237"/>
      <c r="KM22" s="237"/>
      <c r="KN22" s="237"/>
      <c r="KO22" s="237"/>
      <c r="KP22" s="236"/>
      <c r="KQ22" s="237"/>
      <c r="KR22" s="237"/>
      <c r="KS22" s="237"/>
      <c r="KT22" s="237"/>
      <c r="KU22" s="237"/>
      <c r="KV22" s="237"/>
      <c r="KW22" s="237"/>
      <c r="KX22" s="237"/>
      <c r="KY22" s="237"/>
      <c r="KZ22" s="238"/>
      <c r="LA22" s="46"/>
    </row>
    <row r="23" spans="1:313" ht="20.100000000000001" customHeight="1" x14ac:dyDescent="0.25">
      <c r="A23" s="3">
        <v>10</v>
      </c>
      <c r="B23" s="3" t="str">
        <f>HOME!H16</f>
        <v>फरवरी</v>
      </c>
      <c r="C23" s="3">
        <f>HOME!I16</f>
        <v>2020</v>
      </c>
      <c r="D23" s="3">
        <f t="shared" si="12"/>
        <v>2</v>
      </c>
      <c r="E23" s="3" t="s">
        <v>135</v>
      </c>
      <c r="F23" s="3">
        <v>10</v>
      </c>
      <c r="M23" s="46">
        <f ca="1">IFERROR(INDEX(AWAKASH!I$10:J$40,MATCH(N23,AWAKASH!J$10:J$40,0),1),0)</f>
        <v>0</v>
      </c>
      <c r="N23" s="170">
        <f t="shared" ca="1" si="0"/>
        <v>43595</v>
      </c>
      <c r="O23" s="171" t="str">
        <f t="shared" ca="1" si="13"/>
        <v>Fri</v>
      </c>
      <c r="P23" s="172" t="str">
        <f t="shared" ca="1" si="14"/>
        <v>दाल-रोटी</v>
      </c>
      <c r="Q23" s="195"/>
      <c r="R23" s="196"/>
      <c r="S23" s="193"/>
      <c r="T23" s="197"/>
      <c r="U23" s="197"/>
      <c r="V23" s="197"/>
      <c r="W23" s="197"/>
      <c r="X23" s="197"/>
      <c r="Y23" s="197"/>
      <c r="Z23" s="197"/>
      <c r="AA23" s="196"/>
      <c r="AB23" s="197"/>
      <c r="AC23" s="197"/>
      <c r="AD23" s="197"/>
      <c r="AE23" s="197"/>
      <c r="AF23" s="197"/>
      <c r="AG23" s="197"/>
      <c r="AH23" s="197"/>
      <c r="AI23" s="197"/>
      <c r="AJ23" s="197"/>
      <c r="AK23" s="198"/>
      <c r="AL23" s="154">
        <f ca="1">IFERROR(INDEX(AWAKASH!W$10:X$40,MATCH(AM23,AWAKASH!X$10:X$40,0),1),0)</f>
        <v>0</v>
      </c>
      <c r="AM23" s="155">
        <f t="shared" ca="1" si="1"/>
        <v>43626</v>
      </c>
      <c r="AN23" s="156" t="str">
        <f t="shared" ca="1" si="15"/>
        <v>Mon</v>
      </c>
      <c r="AO23" s="157" t="str">
        <f t="shared" ca="1" si="16"/>
        <v>सब्जी-रोटी</v>
      </c>
      <c r="AP23" s="203"/>
      <c r="AQ23" s="204"/>
      <c r="AR23" s="205"/>
      <c r="AS23" s="205"/>
      <c r="AT23" s="205"/>
      <c r="AU23" s="205"/>
      <c r="AV23" s="205"/>
      <c r="AW23" s="205"/>
      <c r="AX23" s="205"/>
      <c r="AY23" s="205"/>
      <c r="AZ23" s="204"/>
      <c r="BA23" s="205"/>
      <c r="BB23" s="205"/>
      <c r="BC23" s="205"/>
      <c r="BD23" s="205"/>
      <c r="BE23" s="205"/>
      <c r="BF23" s="205"/>
      <c r="BG23" s="205"/>
      <c r="BH23" s="205"/>
      <c r="BI23" s="205"/>
      <c r="BJ23" s="206"/>
      <c r="BK23" s="154">
        <f ca="1">IFERROR(INDEX(AWAKASH!AK$10:AL$40,MATCH(BL23,AWAKASH!AL$10:AL$40,0),1),0)</f>
        <v>0</v>
      </c>
      <c r="BL23" s="158">
        <f t="shared" ca="1" si="2"/>
        <v>43656</v>
      </c>
      <c r="BM23" s="159" t="str">
        <f t="shared" ca="1" si="17"/>
        <v>Wed</v>
      </c>
      <c r="BN23" s="160" t="str">
        <f t="shared" ca="1" si="18"/>
        <v>दाल-रोटी</v>
      </c>
      <c r="BO23" s="211"/>
      <c r="BP23" s="212"/>
      <c r="BQ23" s="213"/>
      <c r="BR23" s="213"/>
      <c r="BS23" s="213"/>
      <c r="BT23" s="213"/>
      <c r="BU23" s="213"/>
      <c r="BV23" s="213"/>
      <c r="BW23" s="213"/>
      <c r="BX23" s="213"/>
      <c r="BY23" s="212"/>
      <c r="BZ23" s="213"/>
      <c r="CA23" s="213"/>
      <c r="CB23" s="213"/>
      <c r="CC23" s="213"/>
      <c r="CD23" s="213"/>
      <c r="CE23" s="213"/>
      <c r="CF23" s="213"/>
      <c r="CG23" s="213"/>
      <c r="CH23" s="213"/>
      <c r="CI23" s="214"/>
      <c r="CJ23" s="154">
        <f ca="1">IFERROR(INDEX(AWAKASH!AY$10:AZ$40,MATCH(CK23,AWAKASH!AZ$10:AZ$40,0),1),0)</f>
        <v>0</v>
      </c>
      <c r="CK23" s="161">
        <f t="shared" ca="1" si="3"/>
        <v>43687</v>
      </c>
      <c r="CL23" s="162" t="str">
        <f t="shared" ca="1" si="19"/>
        <v>Sat</v>
      </c>
      <c r="CM23" s="163" t="str">
        <f t="shared" ca="1" si="20"/>
        <v>सब्जी-रोटी</v>
      </c>
      <c r="CN23" s="219"/>
      <c r="CO23" s="220"/>
      <c r="CP23" s="221"/>
      <c r="CQ23" s="221"/>
      <c r="CR23" s="221"/>
      <c r="CS23" s="221"/>
      <c r="CT23" s="221"/>
      <c r="CU23" s="221"/>
      <c r="CV23" s="221"/>
      <c r="CW23" s="221"/>
      <c r="CX23" s="220"/>
      <c r="CY23" s="221"/>
      <c r="CZ23" s="221"/>
      <c r="DA23" s="221"/>
      <c r="DB23" s="221"/>
      <c r="DC23" s="221"/>
      <c r="DD23" s="221"/>
      <c r="DE23" s="221"/>
      <c r="DF23" s="221"/>
      <c r="DG23" s="221"/>
      <c r="DH23" s="222"/>
      <c r="DI23" s="154">
        <f ca="1">IFERROR(INDEX(AWAKASH!BM$10:BN$40,MATCH(DJ23,AWAKASH!BN$10:BN$40,0),1),0)</f>
        <v>0</v>
      </c>
      <c r="DJ23" s="164">
        <f t="shared" ca="1" si="4"/>
        <v>43718</v>
      </c>
      <c r="DK23" s="165" t="str">
        <f t="shared" ca="1" si="21"/>
        <v>Tue</v>
      </c>
      <c r="DL23" s="166" t="str">
        <f t="shared" ca="1" si="22"/>
        <v>दाल-चावल</v>
      </c>
      <c r="DM23" s="227"/>
      <c r="DN23" s="228"/>
      <c r="DO23" s="229"/>
      <c r="DP23" s="229"/>
      <c r="DQ23" s="229"/>
      <c r="DR23" s="229"/>
      <c r="DS23" s="229"/>
      <c r="DT23" s="229"/>
      <c r="DU23" s="229"/>
      <c r="DV23" s="229"/>
      <c r="DW23" s="228"/>
      <c r="DX23" s="229"/>
      <c r="DY23" s="229"/>
      <c r="DZ23" s="229"/>
      <c r="EA23" s="229"/>
      <c r="EB23" s="229"/>
      <c r="EC23" s="229"/>
      <c r="ED23" s="229"/>
      <c r="EE23" s="229"/>
      <c r="EF23" s="229"/>
      <c r="EG23" s="230"/>
      <c r="EH23" s="154">
        <f ca="1">IFERROR(INDEX(AWAKASH!CA$10:CB$40,MATCH(EI23,AWAKASH!CB$10:CB$40,0),1),0)</f>
        <v>0</v>
      </c>
      <c r="EI23" s="167">
        <f t="shared" ca="1" si="5"/>
        <v>43748</v>
      </c>
      <c r="EJ23" s="168" t="str">
        <f t="shared" ca="1" si="23"/>
        <v>Thu</v>
      </c>
      <c r="EK23" s="169" t="str">
        <f t="shared" ca="1" si="24"/>
        <v>खिचड़ी-सब्जी</v>
      </c>
      <c r="EL23" s="235"/>
      <c r="EM23" s="236"/>
      <c r="EN23" s="237"/>
      <c r="EO23" s="237"/>
      <c r="EP23" s="237"/>
      <c r="EQ23" s="237"/>
      <c r="ER23" s="237"/>
      <c r="ES23" s="237"/>
      <c r="ET23" s="237"/>
      <c r="EU23" s="237"/>
      <c r="EV23" s="236"/>
      <c r="EW23" s="237"/>
      <c r="EX23" s="237"/>
      <c r="EY23" s="237"/>
      <c r="EZ23" s="237"/>
      <c r="FA23" s="237"/>
      <c r="FB23" s="237"/>
      <c r="FC23" s="237"/>
      <c r="FD23" s="237"/>
      <c r="FE23" s="237"/>
      <c r="FF23" s="238"/>
      <c r="FG23" s="46">
        <f ca="1">IFERROR(INDEX(AWAKASH!FC$10:FD$40,MATCH(FH23,AWAKASH!FD$10:FD$40,0),1),0)</f>
        <v>0</v>
      </c>
      <c r="FH23" s="170">
        <f t="shared" ca="1" si="6"/>
        <v>43779</v>
      </c>
      <c r="FI23" s="171" t="str">
        <f t="shared" ca="1" si="25"/>
        <v>Sun</v>
      </c>
      <c r="FJ23" s="172">
        <f t="shared" ca="1" si="26"/>
        <v>0</v>
      </c>
      <c r="FK23" s="195"/>
      <c r="FL23" s="196"/>
      <c r="FM23" s="197"/>
      <c r="FN23" s="197"/>
      <c r="FO23" s="197"/>
      <c r="FP23" s="197"/>
      <c r="FQ23" s="197"/>
      <c r="FR23" s="197"/>
      <c r="FS23" s="197"/>
      <c r="FT23" s="197"/>
      <c r="FU23" s="196"/>
      <c r="FV23" s="197"/>
      <c r="FW23" s="197"/>
      <c r="FX23" s="197"/>
      <c r="FY23" s="197"/>
      <c r="FZ23" s="197"/>
      <c r="GA23" s="197"/>
      <c r="GB23" s="197"/>
      <c r="GC23" s="197"/>
      <c r="GD23" s="197"/>
      <c r="GE23" s="198"/>
      <c r="GF23" s="154">
        <f ca="1">IFERROR(INDEX(AWAKASH!FQ$10:FR$40,MATCH(GG23,AWAKASH!FR$10:FR$40,0),1),0)</f>
        <v>0</v>
      </c>
      <c r="GG23" s="155">
        <f t="shared" ca="1" si="7"/>
        <v>43809</v>
      </c>
      <c r="GH23" s="156" t="str">
        <f t="shared" ca="1" si="27"/>
        <v>Tue</v>
      </c>
      <c r="GI23" s="157" t="str">
        <f t="shared" ca="1" si="28"/>
        <v>दाल-चावल</v>
      </c>
      <c r="GJ23" s="203"/>
      <c r="GK23" s="204"/>
      <c r="GL23" s="205"/>
      <c r="GM23" s="205"/>
      <c r="GN23" s="205"/>
      <c r="GO23" s="205"/>
      <c r="GP23" s="205"/>
      <c r="GQ23" s="205"/>
      <c r="GR23" s="205"/>
      <c r="GS23" s="205"/>
      <c r="GT23" s="204"/>
      <c r="GU23" s="205"/>
      <c r="GV23" s="205"/>
      <c r="GW23" s="205"/>
      <c r="GX23" s="205"/>
      <c r="GY23" s="205"/>
      <c r="GZ23" s="205"/>
      <c r="HA23" s="205"/>
      <c r="HB23" s="205"/>
      <c r="HC23" s="205"/>
      <c r="HD23" s="206"/>
      <c r="HE23" s="154">
        <f ca="1">IFERROR(INDEX(AWAKASH!GE$10:GF$40,MATCH(HF23,AWAKASH!GF$10:GF$40,0),1),0)</f>
        <v>0</v>
      </c>
      <c r="HF23" s="158">
        <f t="shared" ca="1" si="8"/>
        <v>43840</v>
      </c>
      <c r="HG23" s="159" t="str">
        <f t="shared" ca="1" si="29"/>
        <v>Fri</v>
      </c>
      <c r="HH23" s="160" t="str">
        <f t="shared" ca="1" si="30"/>
        <v>दाल-रोटी</v>
      </c>
      <c r="HI23" s="211"/>
      <c r="HJ23" s="212"/>
      <c r="HK23" s="213"/>
      <c r="HL23" s="213"/>
      <c r="HM23" s="213"/>
      <c r="HN23" s="213"/>
      <c r="HO23" s="213"/>
      <c r="HP23" s="213"/>
      <c r="HQ23" s="213"/>
      <c r="HR23" s="213"/>
      <c r="HS23" s="212"/>
      <c r="HT23" s="213"/>
      <c r="HU23" s="213"/>
      <c r="HV23" s="213"/>
      <c r="HW23" s="213"/>
      <c r="HX23" s="213"/>
      <c r="HY23" s="213"/>
      <c r="HZ23" s="213"/>
      <c r="IA23" s="213"/>
      <c r="IB23" s="213"/>
      <c r="IC23" s="214"/>
      <c r="ID23" s="154">
        <f ca="1">IFERROR(INDEX(AWAKASH!GS$10:GT$40,MATCH(IE23,AWAKASH!GT$10:GT$40,0),1),0)</f>
        <v>0</v>
      </c>
      <c r="IE23" s="161">
        <f t="shared" ca="1" si="9"/>
        <v>0</v>
      </c>
      <c r="IF23" s="162" t="str">
        <f t="shared" ca="1" si="31"/>
        <v/>
      </c>
      <c r="IG23" s="163" t="str">
        <f t="shared" ca="1" si="32"/>
        <v/>
      </c>
      <c r="IH23" s="219"/>
      <c r="II23" s="220"/>
      <c r="IJ23" s="221"/>
      <c r="IK23" s="221"/>
      <c r="IL23" s="221"/>
      <c r="IM23" s="221"/>
      <c r="IN23" s="221"/>
      <c r="IO23" s="221"/>
      <c r="IP23" s="221"/>
      <c r="IQ23" s="221"/>
      <c r="IR23" s="220"/>
      <c r="IS23" s="221"/>
      <c r="IT23" s="221"/>
      <c r="IU23" s="221"/>
      <c r="IV23" s="221"/>
      <c r="IW23" s="221"/>
      <c r="IX23" s="221"/>
      <c r="IY23" s="221"/>
      <c r="IZ23" s="221"/>
      <c r="JA23" s="221"/>
      <c r="JB23" s="222"/>
      <c r="JC23" s="154">
        <f ca="1">IFERROR(INDEX(AWAKASH!HG$10:HH$40,MATCH(JD23,AWAKASH!HH$10:HH$40,0),1),0)</f>
        <v>0</v>
      </c>
      <c r="JD23" s="164">
        <f t="shared" ca="1" si="10"/>
        <v>0</v>
      </c>
      <c r="JE23" s="165" t="str">
        <f t="shared" ca="1" si="33"/>
        <v/>
      </c>
      <c r="JF23" s="166" t="str">
        <f t="shared" ca="1" si="34"/>
        <v/>
      </c>
      <c r="JG23" s="227"/>
      <c r="JH23" s="228"/>
      <c r="JI23" s="229"/>
      <c r="JJ23" s="229"/>
      <c r="JK23" s="229"/>
      <c r="JL23" s="229"/>
      <c r="JM23" s="229"/>
      <c r="JN23" s="229"/>
      <c r="JO23" s="229"/>
      <c r="JP23" s="229"/>
      <c r="JQ23" s="228"/>
      <c r="JR23" s="229"/>
      <c r="JS23" s="229"/>
      <c r="JT23" s="229"/>
      <c r="JU23" s="229"/>
      <c r="JV23" s="229"/>
      <c r="JW23" s="229"/>
      <c r="JX23" s="229"/>
      <c r="JY23" s="229"/>
      <c r="JZ23" s="229"/>
      <c r="KA23" s="230"/>
      <c r="KB23" s="154">
        <f ca="1">IFERROR(INDEX(AWAKASH!HU$10:HV$40,MATCH(KC23,AWAKASH!HV$10:HV$40,0),1),0)</f>
        <v>0</v>
      </c>
      <c r="KC23" s="167">
        <f t="shared" ca="1" si="11"/>
        <v>0</v>
      </c>
      <c r="KD23" s="168" t="str">
        <f t="shared" ca="1" si="35"/>
        <v/>
      </c>
      <c r="KE23" s="169" t="str">
        <f t="shared" ca="1" si="36"/>
        <v/>
      </c>
      <c r="KF23" s="235"/>
      <c r="KG23" s="236"/>
      <c r="KH23" s="237"/>
      <c r="KI23" s="237"/>
      <c r="KJ23" s="237"/>
      <c r="KK23" s="237"/>
      <c r="KL23" s="237"/>
      <c r="KM23" s="237"/>
      <c r="KN23" s="237"/>
      <c r="KO23" s="237"/>
      <c r="KP23" s="236"/>
      <c r="KQ23" s="237"/>
      <c r="KR23" s="237"/>
      <c r="KS23" s="237"/>
      <c r="KT23" s="237"/>
      <c r="KU23" s="237"/>
      <c r="KV23" s="237"/>
      <c r="KW23" s="237"/>
      <c r="KX23" s="237"/>
      <c r="KY23" s="237"/>
      <c r="KZ23" s="238"/>
      <c r="LA23" s="46"/>
    </row>
    <row r="24" spans="1:313" ht="20.100000000000001" customHeight="1" x14ac:dyDescent="0.25">
      <c r="A24" s="3">
        <v>11</v>
      </c>
      <c r="B24" s="3" t="str">
        <f>HOME!H17</f>
        <v>मार्च</v>
      </c>
      <c r="C24" s="3">
        <f>HOME!I17</f>
        <v>2020</v>
      </c>
      <c r="D24" s="3">
        <f t="shared" si="12"/>
        <v>3</v>
      </c>
      <c r="E24" s="3" t="s">
        <v>136</v>
      </c>
      <c r="F24" s="3">
        <v>11</v>
      </c>
      <c r="M24" s="46">
        <f ca="1">IFERROR(INDEX(AWAKASH!I$10:J$40,MATCH(N24,AWAKASH!J$10:J$40,0),1),0)</f>
        <v>0</v>
      </c>
      <c r="N24" s="170">
        <f t="shared" ca="1" si="0"/>
        <v>43596</v>
      </c>
      <c r="O24" s="171" t="str">
        <f t="shared" ca="1" si="13"/>
        <v>Sat</v>
      </c>
      <c r="P24" s="172" t="str">
        <f t="shared" ca="1" si="14"/>
        <v>सब्जी-रोटी</v>
      </c>
      <c r="Q24" s="195"/>
      <c r="R24" s="196"/>
      <c r="S24" s="193"/>
      <c r="T24" s="197"/>
      <c r="U24" s="197"/>
      <c r="V24" s="197"/>
      <c r="W24" s="197"/>
      <c r="X24" s="197"/>
      <c r="Y24" s="197"/>
      <c r="Z24" s="197"/>
      <c r="AA24" s="196"/>
      <c r="AB24" s="197"/>
      <c r="AC24" s="197"/>
      <c r="AD24" s="197"/>
      <c r="AE24" s="197"/>
      <c r="AF24" s="197"/>
      <c r="AG24" s="197"/>
      <c r="AH24" s="197"/>
      <c r="AI24" s="197"/>
      <c r="AJ24" s="197"/>
      <c r="AK24" s="198"/>
      <c r="AL24" s="154">
        <f ca="1">IFERROR(INDEX(AWAKASH!W$10:X$40,MATCH(AM24,AWAKASH!X$10:X$40,0),1),0)</f>
        <v>0</v>
      </c>
      <c r="AM24" s="155">
        <f t="shared" ca="1" si="1"/>
        <v>43627</v>
      </c>
      <c r="AN24" s="156" t="str">
        <f t="shared" ca="1" si="15"/>
        <v>Tue</v>
      </c>
      <c r="AO24" s="157" t="str">
        <f t="shared" ca="1" si="16"/>
        <v>दाल-चावल</v>
      </c>
      <c r="AP24" s="203"/>
      <c r="AQ24" s="204"/>
      <c r="AR24" s="205"/>
      <c r="AS24" s="205"/>
      <c r="AT24" s="205"/>
      <c r="AU24" s="205"/>
      <c r="AV24" s="205"/>
      <c r="AW24" s="205"/>
      <c r="AX24" s="205"/>
      <c r="AY24" s="205"/>
      <c r="AZ24" s="204"/>
      <c r="BA24" s="205"/>
      <c r="BB24" s="205"/>
      <c r="BC24" s="205"/>
      <c r="BD24" s="205"/>
      <c r="BE24" s="205"/>
      <c r="BF24" s="205"/>
      <c r="BG24" s="205"/>
      <c r="BH24" s="205"/>
      <c r="BI24" s="205"/>
      <c r="BJ24" s="206"/>
      <c r="BK24" s="154">
        <f ca="1">IFERROR(INDEX(AWAKASH!AK$10:AL$40,MATCH(BL24,AWAKASH!AL$10:AL$40,0),1),0)</f>
        <v>0</v>
      </c>
      <c r="BL24" s="158">
        <f t="shared" ca="1" si="2"/>
        <v>43657</v>
      </c>
      <c r="BM24" s="159" t="str">
        <f t="shared" ca="1" si="17"/>
        <v>Thu</v>
      </c>
      <c r="BN24" s="160" t="str">
        <f t="shared" ca="1" si="18"/>
        <v>खिचड़ी-सब्जी</v>
      </c>
      <c r="BO24" s="211"/>
      <c r="BP24" s="212"/>
      <c r="BQ24" s="213"/>
      <c r="BR24" s="213"/>
      <c r="BS24" s="213"/>
      <c r="BT24" s="213"/>
      <c r="BU24" s="213"/>
      <c r="BV24" s="213"/>
      <c r="BW24" s="213"/>
      <c r="BX24" s="213"/>
      <c r="BY24" s="212"/>
      <c r="BZ24" s="213"/>
      <c r="CA24" s="213"/>
      <c r="CB24" s="213"/>
      <c r="CC24" s="213"/>
      <c r="CD24" s="213"/>
      <c r="CE24" s="213"/>
      <c r="CF24" s="213"/>
      <c r="CG24" s="213"/>
      <c r="CH24" s="213"/>
      <c r="CI24" s="214"/>
      <c r="CJ24" s="154">
        <f ca="1">IFERROR(INDEX(AWAKASH!AY$10:AZ$40,MATCH(CK24,AWAKASH!AZ$10:AZ$40,0),1),0)</f>
        <v>0</v>
      </c>
      <c r="CK24" s="161">
        <f t="shared" ca="1" si="3"/>
        <v>43688</v>
      </c>
      <c r="CL24" s="162" t="str">
        <f t="shared" ca="1" si="19"/>
        <v>Sun</v>
      </c>
      <c r="CM24" s="163">
        <f t="shared" ca="1" si="20"/>
        <v>0</v>
      </c>
      <c r="CN24" s="219"/>
      <c r="CO24" s="220"/>
      <c r="CP24" s="221"/>
      <c r="CQ24" s="221"/>
      <c r="CR24" s="221"/>
      <c r="CS24" s="221"/>
      <c r="CT24" s="221"/>
      <c r="CU24" s="221"/>
      <c r="CV24" s="221"/>
      <c r="CW24" s="221"/>
      <c r="CX24" s="220"/>
      <c r="CY24" s="221"/>
      <c r="CZ24" s="221"/>
      <c r="DA24" s="221"/>
      <c r="DB24" s="221"/>
      <c r="DC24" s="221"/>
      <c r="DD24" s="221"/>
      <c r="DE24" s="221"/>
      <c r="DF24" s="221"/>
      <c r="DG24" s="221"/>
      <c r="DH24" s="222"/>
      <c r="DI24" s="154">
        <f ca="1">IFERROR(INDEX(AWAKASH!BM$10:BN$40,MATCH(DJ24,AWAKASH!BN$10:BN$40,0),1),0)</f>
        <v>0</v>
      </c>
      <c r="DJ24" s="164">
        <f t="shared" ca="1" si="4"/>
        <v>43719</v>
      </c>
      <c r="DK24" s="165" t="str">
        <f t="shared" ca="1" si="21"/>
        <v>Wed</v>
      </c>
      <c r="DL24" s="166" t="str">
        <f t="shared" ca="1" si="22"/>
        <v>दाल-रोटी</v>
      </c>
      <c r="DM24" s="227"/>
      <c r="DN24" s="228"/>
      <c r="DO24" s="229"/>
      <c r="DP24" s="229"/>
      <c r="DQ24" s="229"/>
      <c r="DR24" s="229"/>
      <c r="DS24" s="229"/>
      <c r="DT24" s="229"/>
      <c r="DU24" s="229"/>
      <c r="DV24" s="229"/>
      <c r="DW24" s="228"/>
      <c r="DX24" s="229"/>
      <c r="DY24" s="229"/>
      <c r="DZ24" s="229"/>
      <c r="EA24" s="229"/>
      <c r="EB24" s="229"/>
      <c r="EC24" s="229"/>
      <c r="ED24" s="229"/>
      <c r="EE24" s="229"/>
      <c r="EF24" s="229"/>
      <c r="EG24" s="230"/>
      <c r="EH24" s="154">
        <f ca="1">IFERROR(INDEX(AWAKASH!CA$10:CB$40,MATCH(EI24,AWAKASH!CB$10:CB$40,0),1),0)</f>
        <v>0</v>
      </c>
      <c r="EI24" s="167">
        <f t="shared" ca="1" si="5"/>
        <v>43749</v>
      </c>
      <c r="EJ24" s="168" t="str">
        <f t="shared" ca="1" si="23"/>
        <v>Fri</v>
      </c>
      <c r="EK24" s="169" t="str">
        <f t="shared" ca="1" si="24"/>
        <v>दाल-रोटी</v>
      </c>
      <c r="EL24" s="235"/>
      <c r="EM24" s="236"/>
      <c r="EN24" s="237"/>
      <c r="EO24" s="237"/>
      <c r="EP24" s="237"/>
      <c r="EQ24" s="237"/>
      <c r="ER24" s="237"/>
      <c r="ES24" s="237"/>
      <c r="ET24" s="237"/>
      <c r="EU24" s="237"/>
      <c r="EV24" s="236"/>
      <c r="EW24" s="237"/>
      <c r="EX24" s="237"/>
      <c r="EY24" s="237"/>
      <c r="EZ24" s="237"/>
      <c r="FA24" s="237"/>
      <c r="FB24" s="237"/>
      <c r="FC24" s="237"/>
      <c r="FD24" s="237"/>
      <c r="FE24" s="237"/>
      <c r="FF24" s="238"/>
      <c r="FG24" s="46">
        <f ca="1">IFERROR(INDEX(AWAKASH!FC$10:FD$40,MATCH(FH24,AWAKASH!FD$10:FD$40,0),1),0)</f>
        <v>0</v>
      </c>
      <c r="FH24" s="170">
        <f t="shared" ca="1" si="6"/>
        <v>43780</v>
      </c>
      <c r="FI24" s="171" t="str">
        <f t="shared" ca="1" si="25"/>
        <v>Mon</v>
      </c>
      <c r="FJ24" s="172" t="str">
        <f t="shared" ca="1" si="26"/>
        <v>सब्जी-रोटी</v>
      </c>
      <c r="FK24" s="195"/>
      <c r="FL24" s="196"/>
      <c r="FM24" s="197"/>
      <c r="FN24" s="197"/>
      <c r="FO24" s="197"/>
      <c r="FP24" s="197"/>
      <c r="FQ24" s="197"/>
      <c r="FR24" s="197"/>
      <c r="FS24" s="197"/>
      <c r="FT24" s="197"/>
      <c r="FU24" s="196"/>
      <c r="FV24" s="197"/>
      <c r="FW24" s="197"/>
      <c r="FX24" s="197"/>
      <c r="FY24" s="197"/>
      <c r="FZ24" s="197"/>
      <c r="GA24" s="197"/>
      <c r="GB24" s="197"/>
      <c r="GC24" s="197"/>
      <c r="GD24" s="197"/>
      <c r="GE24" s="198"/>
      <c r="GF24" s="154">
        <f ca="1">IFERROR(INDEX(AWAKASH!FQ$10:FR$40,MATCH(GG24,AWAKASH!FR$10:FR$40,0),1),0)</f>
        <v>0</v>
      </c>
      <c r="GG24" s="155">
        <f t="shared" ca="1" si="7"/>
        <v>43810</v>
      </c>
      <c r="GH24" s="156" t="str">
        <f t="shared" ca="1" si="27"/>
        <v>Wed</v>
      </c>
      <c r="GI24" s="157" t="str">
        <f t="shared" ca="1" si="28"/>
        <v>दाल-रोटी</v>
      </c>
      <c r="GJ24" s="203"/>
      <c r="GK24" s="204"/>
      <c r="GL24" s="205"/>
      <c r="GM24" s="205"/>
      <c r="GN24" s="205"/>
      <c r="GO24" s="205"/>
      <c r="GP24" s="205"/>
      <c r="GQ24" s="205"/>
      <c r="GR24" s="205"/>
      <c r="GS24" s="205"/>
      <c r="GT24" s="204"/>
      <c r="GU24" s="205"/>
      <c r="GV24" s="205"/>
      <c r="GW24" s="205"/>
      <c r="GX24" s="205"/>
      <c r="GY24" s="205"/>
      <c r="GZ24" s="205"/>
      <c r="HA24" s="205"/>
      <c r="HB24" s="205"/>
      <c r="HC24" s="205"/>
      <c r="HD24" s="206"/>
      <c r="HE24" s="154">
        <f ca="1">IFERROR(INDEX(AWAKASH!GE$10:GF$40,MATCH(HF24,AWAKASH!GF$10:GF$40,0),1),0)</f>
        <v>0</v>
      </c>
      <c r="HF24" s="158">
        <f t="shared" ca="1" si="8"/>
        <v>43841</v>
      </c>
      <c r="HG24" s="159" t="str">
        <f t="shared" ca="1" si="29"/>
        <v>Sat</v>
      </c>
      <c r="HH24" s="160" t="str">
        <f t="shared" ca="1" si="30"/>
        <v>सब्जी-रोटी</v>
      </c>
      <c r="HI24" s="211"/>
      <c r="HJ24" s="212"/>
      <c r="HK24" s="213"/>
      <c r="HL24" s="213"/>
      <c r="HM24" s="213"/>
      <c r="HN24" s="213"/>
      <c r="HO24" s="213"/>
      <c r="HP24" s="213"/>
      <c r="HQ24" s="213"/>
      <c r="HR24" s="213"/>
      <c r="HS24" s="212"/>
      <c r="HT24" s="213"/>
      <c r="HU24" s="213"/>
      <c r="HV24" s="213"/>
      <c r="HW24" s="213"/>
      <c r="HX24" s="213"/>
      <c r="HY24" s="213"/>
      <c r="HZ24" s="213"/>
      <c r="IA24" s="213"/>
      <c r="IB24" s="213"/>
      <c r="IC24" s="214"/>
      <c r="ID24" s="154">
        <f ca="1">IFERROR(INDEX(AWAKASH!GS$10:GT$40,MATCH(IE24,AWAKASH!GT$10:GT$40,0),1),0)</f>
        <v>0</v>
      </c>
      <c r="IE24" s="161">
        <f t="shared" ca="1" si="9"/>
        <v>0</v>
      </c>
      <c r="IF24" s="162" t="str">
        <f t="shared" ca="1" si="31"/>
        <v/>
      </c>
      <c r="IG24" s="163" t="str">
        <f t="shared" ca="1" si="32"/>
        <v/>
      </c>
      <c r="IH24" s="219"/>
      <c r="II24" s="220"/>
      <c r="IJ24" s="221"/>
      <c r="IK24" s="221"/>
      <c r="IL24" s="221"/>
      <c r="IM24" s="221"/>
      <c r="IN24" s="221"/>
      <c r="IO24" s="221"/>
      <c r="IP24" s="221"/>
      <c r="IQ24" s="221"/>
      <c r="IR24" s="220"/>
      <c r="IS24" s="221"/>
      <c r="IT24" s="221"/>
      <c r="IU24" s="221"/>
      <c r="IV24" s="221"/>
      <c r="IW24" s="221"/>
      <c r="IX24" s="221"/>
      <c r="IY24" s="221"/>
      <c r="IZ24" s="221"/>
      <c r="JA24" s="221"/>
      <c r="JB24" s="222"/>
      <c r="JC24" s="154">
        <f ca="1">IFERROR(INDEX(AWAKASH!HG$10:HH$40,MATCH(JD24,AWAKASH!HH$10:HH$40,0),1),0)</f>
        <v>0</v>
      </c>
      <c r="JD24" s="164">
        <f t="shared" ca="1" si="10"/>
        <v>0</v>
      </c>
      <c r="JE24" s="165" t="str">
        <f t="shared" ca="1" si="33"/>
        <v/>
      </c>
      <c r="JF24" s="166" t="str">
        <f t="shared" ca="1" si="34"/>
        <v/>
      </c>
      <c r="JG24" s="227"/>
      <c r="JH24" s="228"/>
      <c r="JI24" s="229"/>
      <c r="JJ24" s="229"/>
      <c r="JK24" s="229"/>
      <c r="JL24" s="229"/>
      <c r="JM24" s="229"/>
      <c r="JN24" s="229"/>
      <c r="JO24" s="229"/>
      <c r="JP24" s="229"/>
      <c r="JQ24" s="228"/>
      <c r="JR24" s="229"/>
      <c r="JS24" s="229"/>
      <c r="JT24" s="229"/>
      <c r="JU24" s="229"/>
      <c r="JV24" s="229"/>
      <c r="JW24" s="229"/>
      <c r="JX24" s="229"/>
      <c r="JY24" s="229"/>
      <c r="JZ24" s="229"/>
      <c r="KA24" s="230"/>
      <c r="KB24" s="154">
        <f ca="1">IFERROR(INDEX(AWAKASH!HU$10:HV$40,MATCH(KC24,AWAKASH!HV$10:HV$40,0),1),0)</f>
        <v>0</v>
      </c>
      <c r="KC24" s="167">
        <f t="shared" ca="1" si="11"/>
        <v>0</v>
      </c>
      <c r="KD24" s="168" t="str">
        <f t="shared" ca="1" si="35"/>
        <v/>
      </c>
      <c r="KE24" s="169" t="str">
        <f t="shared" ca="1" si="36"/>
        <v/>
      </c>
      <c r="KF24" s="235"/>
      <c r="KG24" s="236"/>
      <c r="KH24" s="237"/>
      <c r="KI24" s="237"/>
      <c r="KJ24" s="237"/>
      <c r="KK24" s="237"/>
      <c r="KL24" s="237"/>
      <c r="KM24" s="237"/>
      <c r="KN24" s="237"/>
      <c r="KO24" s="237"/>
      <c r="KP24" s="236"/>
      <c r="KQ24" s="237"/>
      <c r="KR24" s="237"/>
      <c r="KS24" s="237"/>
      <c r="KT24" s="237"/>
      <c r="KU24" s="237"/>
      <c r="KV24" s="237"/>
      <c r="KW24" s="237"/>
      <c r="KX24" s="237"/>
      <c r="KY24" s="237"/>
      <c r="KZ24" s="238"/>
      <c r="LA24" s="46"/>
    </row>
    <row r="25" spans="1:313" ht="20.100000000000001" customHeight="1" x14ac:dyDescent="0.25">
      <c r="A25" s="3">
        <v>12</v>
      </c>
      <c r="B25" s="3" t="str">
        <f>HOME!H18</f>
        <v>अप्रैल</v>
      </c>
      <c r="C25" s="3">
        <f>HOME!I18</f>
        <v>2020</v>
      </c>
      <c r="D25" s="3">
        <f t="shared" si="12"/>
        <v>4</v>
      </c>
      <c r="E25" s="3" t="s">
        <v>137</v>
      </c>
      <c r="F25" s="3">
        <v>12</v>
      </c>
      <c r="M25" s="46">
        <f ca="1">IFERROR(INDEX(AWAKASH!I$10:J$40,MATCH(N25,AWAKASH!J$10:J$40,0),1),0)</f>
        <v>0</v>
      </c>
      <c r="N25" s="170">
        <f t="shared" ca="1" si="0"/>
        <v>43597</v>
      </c>
      <c r="O25" s="171" t="str">
        <f t="shared" ca="1" si="13"/>
        <v>Sun</v>
      </c>
      <c r="P25" s="172">
        <f t="shared" ca="1" si="14"/>
        <v>0</v>
      </c>
      <c r="Q25" s="195"/>
      <c r="R25" s="196"/>
      <c r="S25" s="197"/>
      <c r="T25" s="197"/>
      <c r="U25" s="197"/>
      <c r="V25" s="197"/>
      <c r="W25" s="197"/>
      <c r="X25" s="197"/>
      <c r="Y25" s="197"/>
      <c r="Z25" s="197"/>
      <c r="AA25" s="196"/>
      <c r="AB25" s="197"/>
      <c r="AC25" s="197"/>
      <c r="AD25" s="197"/>
      <c r="AE25" s="197"/>
      <c r="AF25" s="197"/>
      <c r="AG25" s="197"/>
      <c r="AH25" s="197"/>
      <c r="AI25" s="197"/>
      <c r="AJ25" s="197"/>
      <c r="AK25" s="198"/>
      <c r="AL25" s="154">
        <f ca="1">IFERROR(INDEX(AWAKASH!W$10:X$40,MATCH(AM25,AWAKASH!X$10:X$40,0),1),0)</f>
        <v>0</v>
      </c>
      <c r="AM25" s="155">
        <f t="shared" ca="1" si="1"/>
        <v>43628</v>
      </c>
      <c r="AN25" s="156" t="str">
        <f t="shared" ca="1" si="15"/>
        <v>Wed</v>
      </c>
      <c r="AO25" s="157" t="str">
        <f t="shared" ca="1" si="16"/>
        <v>दाल-रोटी</v>
      </c>
      <c r="AP25" s="203"/>
      <c r="AQ25" s="204"/>
      <c r="AR25" s="205"/>
      <c r="AS25" s="205"/>
      <c r="AT25" s="205"/>
      <c r="AU25" s="205"/>
      <c r="AV25" s="205"/>
      <c r="AW25" s="205"/>
      <c r="AX25" s="205"/>
      <c r="AY25" s="205"/>
      <c r="AZ25" s="204"/>
      <c r="BA25" s="205"/>
      <c r="BB25" s="205"/>
      <c r="BC25" s="205"/>
      <c r="BD25" s="205"/>
      <c r="BE25" s="205"/>
      <c r="BF25" s="205"/>
      <c r="BG25" s="205"/>
      <c r="BH25" s="205"/>
      <c r="BI25" s="205"/>
      <c r="BJ25" s="206"/>
      <c r="BK25" s="154">
        <f ca="1">IFERROR(INDEX(AWAKASH!AK$10:AL$40,MATCH(BL25,AWAKASH!AL$10:AL$40,0),1),0)</f>
        <v>0</v>
      </c>
      <c r="BL25" s="158">
        <f t="shared" ca="1" si="2"/>
        <v>43658</v>
      </c>
      <c r="BM25" s="159" t="str">
        <f t="shared" ca="1" si="17"/>
        <v>Fri</v>
      </c>
      <c r="BN25" s="160" t="str">
        <f t="shared" ca="1" si="18"/>
        <v>दाल-रोटी</v>
      </c>
      <c r="BO25" s="211"/>
      <c r="BP25" s="212"/>
      <c r="BQ25" s="213"/>
      <c r="BR25" s="213"/>
      <c r="BS25" s="213"/>
      <c r="BT25" s="213"/>
      <c r="BU25" s="213"/>
      <c r="BV25" s="213"/>
      <c r="BW25" s="213"/>
      <c r="BX25" s="213"/>
      <c r="BY25" s="212"/>
      <c r="BZ25" s="213"/>
      <c r="CA25" s="213"/>
      <c r="CB25" s="213"/>
      <c r="CC25" s="213"/>
      <c r="CD25" s="213"/>
      <c r="CE25" s="213"/>
      <c r="CF25" s="213"/>
      <c r="CG25" s="213"/>
      <c r="CH25" s="213"/>
      <c r="CI25" s="214"/>
      <c r="CJ25" s="154">
        <f ca="1">IFERROR(INDEX(AWAKASH!AY$10:AZ$40,MATCH(CK25,AWAKASH!AZ$10:AZ$40,0),1),0)</f>
        <v>0</v>
      </c>
      <c r="CK25" s="161">
        <f t="shared" ca="1" si="3"/>
        <v>43689</v>
      </c>
      <c r="CL25" s="162" t="str">
        <f t="shared" ca="1" si="19"/>
        <v>Mon</v>
      </c>
      <c r="CM25" s="163" t="str">
        <f t="shared" ca="1" si="20"/>
        <v>सब्जी-रोटी</v>
      </c>
      <c r="CN25" s="219"/>
      <c r="CO25" s="220"/>
      <c r="CP25" s="221"/>
      <c r="CQ25" s="221"/>
      <c r="CR25" s="221"/>
      <c r="CS25" s="221"/>
      <c r="CT25" s="221"/>
      <c r="CU25" s="221"/>
      <c r="CV25" s="221"/>
      <c r="CW25" s="221"/>
      <c r="CX25" s="220"/>
      <c r="CY25" s="221"/>
      <c r="CZ25" s="221"/>
      <c r="DA25" s="221"/>
      <c r="DB25" s="221"/>
      <c r="DC25" s="221"/>
      <c r="DD25" s="221"/>
      <c r="DE25" s="221"/>
      <c r="DF25" s="221"/>
      <c r="DG25" s="221"/>
      <c r="DH25" s="222"/>
      <c r="DI25" s="154">
        <f ca="1">IFERROR(INDEX(AWAKASH!BM$10:BN$40,MATCH(DJ25,AWAKASH!BN$10:BN$40,0),1),0)</f>
        <v>0</v>
      </c>
      <c r="DJ25" s="164">
        <f t="shared" ca="1" si="4"/>
        <v>43720</v>
      </c>
      <c r="DK25" s="165" t="str">
        <f t="shared" ca="1" si="21"/>
        <v>Thu</v>
      </c>
      <c r="DL25" s="166" t="str">
        <f t="shared" ca="1" si="22"/>
        <v>खिचड़ी-सब्जी</v>
      </c>
      <c r="DM25" s="227"/>
      <c r="DN25" s="228"/>
      <c r="DO25" s="229"/>
      <c r="DP25" s="229"/>
      <c r="DQ25" s="229"/>
      <c r="DR25" s="229"/>
      <c r="DS25" s="229"/>
      <c r="DT25" s="229"/>
      <c r="DU25" s="229"/>
      <c r="DV25" s="229"/>
      <c r="DW25" s="228"/>
      <c r="DX25" s="229"/>
      <c r="DY25" s="229"/>
      <c r="DZ25" s="229"/>
      <c r="EA25" s="229"/>
      <c r="EB25" s="229"/>
      <c r="EC25" s="229"/>
      <c r="ED25" s="229"/>
      <c r="EE25" s="229"/>
      <c r="EF25" s="229"/>
      <c r="EG25" s="230"/>
      <c r="EH25" s="154">
        <f ca="1">IFERROR(INDEX(AWAKASH!CA$10:CB$40,MATCH(EI25,AWAKASH!CB$10:CB$40,0),1),0)</f>
        <v>0</v>
      </c>
      <c r="EI25" s="167">
        <f t="shared" ca="1" si="5"/>
        <v>43750</v>
      </c>
      <c r="EJ25" s="168" t="str">
        <f t="shared" ca="1" si="23"/>
        <v>Sat</v>
      </c>
      <c r="EK25" s="169" t="str">
        <f t="shared" ca="1" si="24"/>
        <v>सब्जी-रोटी</v>
      </c>
      <c r="EL25" s="235"/>
      <c r="EM25" s="236"/>
      <c r="EN25" s="237"/>
      <c r="EO25" s="237"/>
      <c r="EP25" s="237"/>
      <c r="EQ25" s="237"/>
      <c r="ER25" s="237"/>
      <c r="ES25" s="237"/>
      <c r="ET25" s="237"/>
      <c r="EU25" s="237"/>
      <c r="EV25" s="236"/>
      <c r="EW25" s="237"/>
      <c r="EX25" s="237"/>
      <c r="EY25" s="237"/>
      <c r="EZ25" s="237"/>
      <c r="FA25" s="237"/>
      <c r="FB25" s="237"/>
      <c r="FC25" s="237"/>
      <c r="FD25" s="237"/>
      <c r="FE25" s="237"/>
      <c r="FF25" s="238"/>
      <c r="FG25" s="46">
        <f ca="1">IFERROR(INDEX(AWAKASH!FC$10:FD$40,MATCH(FH25,AWAKASH!FD$10:FD$40,0),1),0)</f>
        <v>0</v>
      </c>
      <c r="FH25" s="170">
        <f t="shared" ca="1" si="6"/>
        <v>43781</v>
      </c>
      <c r="FI25" s="171" t="str">
        <f t="shared" ca="1" si="25"/>
        <v>Tue</v>
      </c>
      <c r="FJ25" s="172" t="str">
        <f t="shared" ca="1" si="26"/>
        <v>दाल-चावल</v>
      </c>
      <c r="FK25" s="195"/>
      <c r="FL25" s="196"/>
      <c r="FM25" s="197"/>
      <c r="FN25" s="197"/>
      <c r="FO25" s="197"/>
      <c r="FP25" s="197"/>
      <c r="FQ25" s="197"/>
      <c r="FR25" s="197"/>
      <c r="FS25" s="197"/>
      <c r="FT25" s="197"/>
      <c r="FU25" s="196"/>
      <c r="FV25" s="197"/>
      <c r="FW25" s="197"/>
      <c r="FX25" s="197"/>
      <c r="FY25" s="197"/>
      <c r="FZ25" s="197"/>
      <c r="GA25" s="197"/>
      <c r="GB25" s="197"/>
      <c r="GC25" s="197"/>
      <c r="GD25" s="197"/>
      <c r="GE25" s="198"/>
      <c r="GF25" s="154">
        <f ca="1">IFERROR(INDEX(AWAKASH!FQ$10:FR$40,MATCH(GG25,AWAKASH!FR$10:FR$40,0),1),0)</f>
        <v>0</v>
      </c>
      <c r="GG25" s="155">
        <f t="shared" ca="1" si="7"/>
        <v>43811</v>
      </c>
      <c r="GH25" s="156" t="str">
        <f t="shared" ca="1" si="27"/>
        <v>Thu</v>
      </c>
      <c r="GI25" s="157" t="str">
        <f t="shared" ca="1" si="28"/>
        <v>खिचड़ी-सब्जी</v>
      </c>
      <c r="GJ25" s="203"/>
      <c r="GK25" s="204"/>
      <c r="GL25" s="205"/>
      <c r="GM25" s="205"/>
      <c r="GN25" s="205"/>
      <c r="GO25" s="205"/>
      <c r="GP25" s="205"/>
      <c r="GQ25" s="205"/>
      <c r="GR25" s="205"/>
      <c r="GS25" s="205"/>
      <c r="GT25" s="204"/>
      <c r="GU25" s="205"/>
      <c r="GV25" s="205"/>
      <c r="GW25" s="205"/>
      <c r="GX25" s="205"/>
      <c r="GY25" s="205"/>
      <c r="GZ25" s="205"/>
      <c r="HA25" s="205"/>
      <c r="HB25" s="205"/>
      <c r="HC25" s="205"/>
      <c r="HD25" s="206"/>
      <c r="HE25" s="154">
        <f ca="1">IFERROR(INDEX(AWAKASH!GE$10:GF$40,MATCH(HF25,AWAKASH!GF$10:GF$40,0),1),0)</f>
        <v>0</v>
      </c>
      <c r="HF25" s="158">
        <f t="shared" ca="1" si="8"/>
        <v>43842</v>
      </c>
      <c r="HG25" s="159" t="str">
        <f t="shared" ca="1" si="29"/>
        <v>Sun</v>
      </c>
      <c r="HH25" s="160">
        <f t="shared" ca="1" si="30"/>
        <v>0</v>
      </c>
      <c r="HI25" s="211"/>
      <c r="HJ25" s="212"/>
      <c r="HK25" s="213"/>
      <c r="HL25" s="213"/>
      <c r="HM25" s="213"/>
      <c r="HN25" s="213"/>
      <c r="HO25" s="213"/>
      <c r="HP25" s="213"/>
      <c r="HQ25" s="213"/>
      <c r="HR25" s="213"/>
      <c r="HS25" s="212"/>
      <c r="HT25" s="213"/>
      <c r="HU25" s="213"/>
      <c r="HV25" s="213"/>
      <c r="HW25" s="213"/>
      <c r="HX25" s="213"/>
      <c r="HY25" s="213"/>
      <c r="HZ25" s="213"/>
      <c r="IA25" s="213"/>
      <c r="IB25" s="213"/>
      <c r="IC25" s="214"/>
      <c r="ID25" s="154">
        <f ca="1">IFERROR(INDEX(AWAKASH!GS$10:GT$40,MATCH(IE25,AWAKASH!GT$10:GT$40,0),1),0)</f>
        <v>0</v>
      </c>
      <c r="IE25" s="161">
        <f t="shared" ca="1" si="9"/>
        <v>0</v>
      </c>
      <c r="IF25" s="162" t="str">
        <f t="shared" ca="1" si="31"/>
        <v/>
      </c>
      <c r="IG25" s="163" t="str">
        <f t="shared" ca="1" si="32"/>
        <v/>
      </c>
      <c r="IH25" s="219"/>
      <c r="II25" s="220"/>
      <c r="IJ25" s="221"/>
      <c r="IK25" s="221"/>
      <c r="IL25" s="221"/>
      <c r="IM25" s="221"/>
      <c r="IN25" s="221"/>
      <c r="IO25" s="221"/>
      <c r="IP25" s="221"/>
      <c r="IQ25" s="221"/>
      <c r="IR25" s="220"/>
      <c r="IS25" s="221"/>
      <c r="IT25" s="221"/>
      <c r="IU25" s="221"/>
      <c r="IV25" s="221"/>
      <c r="IW25" s="221"/>
      <c r="IX25" s="221"/>
      <c r="IY25" s="221"/>
      <c r="IZ25" s="221"/>
      <c r="JA25" s="221"/>
      <c r="JB25" s="222"/>
      <c r="JC25" s="154">
        <f ca="1">IFERROR(INDEX(AWAKASH!HG$10:HH$40,MATCH(JD25,AWAKASH!HH$10:HH$40,0),1),0)</f>
        <v>0</v>
      </c>
      <c r="JD25" s="164">
        <f t="shared" ca="1" si="10"/>
        <v>0</v>
      </c>
      <c r="JE25" s="165" t="str">
        <f t="shared" ca="1" si="33"/>
        <v/>
      </c>
      <c r="JF25" s="166" t="str">
        <f t="shared" ca="1" si="34"/>
        <v/>
      </c>
      <c r="JG25" s="227"/>
      <c r="JH25" s="228"/>
      <c r="JI25" s="229"/>
      <c r="JJ25" s="229"/>
      <c r="JK25" s="229"/>
      <c r="JL25" s="229"/>
      <c r="JM25" s="229"/>
      <c r="JN25" s="229"/>
      <c r="JO25" s="229"/>
      <c r="JP25" s="229"/>
      <c r="JQ25" s="228"/>
      <c r="JR25" s="229"/>
      <c r="JS25" s="229"/>
      <c r="JT25" s="229"/>
      <c r="JU25" s="229"/>
      <c r="JV25" s="229"/>
      <c r="JW25" s="229"/>
      <c r="JX25" s="229"/>
      <c r="JY25" s="229"/>
      <c r="JZ25" s="229"/>
      <c r="KA25" s="230"/>
      <c r="KB25" s="154">
        <f ca="1">IFERROR(INDEX(AWAKASH!HU$10:HV$40,MATCH(KC25,AWAKASH!HV$10:HV$40,0),1),0)</f>
        <v>0</v>
      </c>
      <c r="KC25" s="167">
        <f t="shared" ca="1" si="11"/>
        <v>0</v>
      </c>
      <c r="KD25" s="168" t="str">
        <f t="shared" ca="1" si="35"/>
        <v/>
      </c>
      <c r="KE25" s="169" t="str">
        <f t="shared" ca="1" si="36"/>
        <v/>
      </c>
      <c r="KF25" s="235"/>
      <c r="KG25" s="236"/>
      <c r="KH25" s="237"/>
      <c r="KI25" s="237"/>
      <c r="KJ25" s="237"/>
      <c r="KK25" s="237"/>
      <c r="KL25" s="237"/>
      <c r="KM25" s="237"/>
      <c r="KN25" s="237"/>
      <c r="KO25" s="237"/>
      <c r="KP25" s="236"/>
      <c r="KQ25" s="237"/>
      <c r="KR25" s="237"/>
      <c r="KS25" s="237"/>
      <c r="KT25" s="237"/>
      <c r="KU25" s="237"/>
      <c r="KV25" s="237"/>
      <c r="KW25" s="237"/>
      <c r="KX25" s="237"/>
      <c r="KY25" s="237"/>
      <c r="KZ25" s="238"/>
      <c r="LA25" s="46"/>
    </row>
    <row r="26" spans="1:313" ht="20.100000000000001" customHeight="1" x14ac:dyDescent="0.25">
      <c r="A26" s="3">
        <v>13</v>
      </c>
      <c r="D26" s="3">
        <v>1</v>
      </c>
      <c r="E26" s="3" t="s">
        <v>193</v>
      </c>
      <c r="M26" s="46">
        <f ca="1">IFERROR(INDEX(AWAKASH!I$10:J$40,MATCH(N26,AWAKASH!J$10:J$40,0),1),0)</f>
        <v>0</v>
      </c>
      <c r="N26" s="170">
        <f t="shared" ca="1" si="0"/>
        <v>43598</v>
      </c>
      <c r="O26" s="171" t="str">
        <f t="shared" ca="1" si="13"/>
        <v>Mon</v>
      </c>
      <c r="P26" s="172" t="str">
        <f t="shared" ca="1" si="14"/>
        <v>सब्जी-रोटी</v>
      </c>
      <c r="Q26" s="195"/>
      <c r="R26" s="196"/>
      <c r="S26" s="193"/>
      <c r="T26" s="197"/>
      <c r="U26" s="197"/>
      <c r="V26" s="197"/>
      <c r="W26" s="197"/>
      <c r="X26" s="197"/>
      <c r="Y26" s="197"/>
      <c r="Z26" s="197"/>
      <c r="AA26" s="196"/>
      <c r="AB26" s="197"/>
      <c r="AC26" s="197"/>
      <c r="AD26" s="197"/>
      <c r="AE26" s="197"/>
      <c r="AF26" s="197"/>
      <c r="AG26" s="197"/>
      <c r="AH26" s="197"/>
      <c r="AI26" s="197"/>
      <c r="AJ26" s="197"/>
      <c r="AK26" s="198"/>
      <c r="AL26" s="154">
        <f ca="1">IFERROR(INDEX(AWAKASH!W$10:X$40,MATCH(AM26,AWAKASH!X$10:X$40,0),1),0)</f>
        <v>0</v>
      </c>
      <c r="AM26" s="155">
        <f t="shared" ca="1" si="1"/>
        <v>43629</v>
      </c>
      <c r="AN26" s="156" t="str">
        <f t="shared" ca="1" si="15"/>
        <v>Thu</v>
      </c>
      <c r="AO26" s="157" t="str">
        <f t="shared" ca="1" si="16"/>
        <v>खिचड़ी-सब्जी</v>
      </c>
      <c r="AP26" s="203"/>
      <c r="AQ26" s="204"/>
      <c r="AR26" s="205"/>
      <c r="AS26" s="205"/>
      <c r="AT26" s="205"/>
      <c r="AU26" s="205"/>
      <c r="AV26" s="205"/>
      <c r="AW26" s="205"/>
      <c r="AX26" s="205"/>
      <c r="AY26" s="205"/>
      <c r="AZ26" s="204"/>
      <c r="BA26" s="205"/>
      <c r="BB26" s="205"/>
      <c r="BC26" s="205"/>
      <c r="BD26" s="205"/>
      <c r="BE26" s="205"/>
      <c r="BF26" s="205"/>
      <c r="BG26" s="205"/>
      <c r="BH26" s="205"/>
      <c r="BI26" s="205"/>
      <c r="BJ26" s="206"/>
      <c r="BK26" s="154">
        <f ca="1">IFERROR(INDEX(AWAKASH!AK$10:AL$40,MATCH(BL26,AWAKASH!AL$10:AL$40,0),1),0)</f>
        <v>0</v>
      </c>
      <c r="BL26" s="158">
        <f t="shared" ca="1" si="2"/>
        <v>43659</v>
      </c>
      <c r="BM26" s="159" t="str">
        <f t="shared" ca="1" si="17"/>
        <v>Sat</v>
      </c>
      <c r="BN26" s="160" t="str">
        <f t="shared" ca="1" si="18"/>
        <v>सब्जी-रोटी</v>
      </c>
      <c r="BO26" s="211"/>
      <c r="BP26" s="212"/>
      <c r="BQ26" s="213"/>
      <c r="BR26" s="213"/>
      <c r="BS26" s="213"/>
      <c r="BT26" s="213"/>
      <c r="BU26" s="213"/>
      <c r="BV26" s="213"/>
      <c r="BW26" s="213"/>
      <c r="BX26" s="213"/>
      <c r="BY26" s="212"/>
      <c r="BZ26" s="213"/>
      <c r="CA26" s="213"/>
      <c r="CB26" s="213"/>
      <c r="CC26" s="213"/>
      <c r="CD26" s="213"/>
      <c r="CE26" s="213"/>
      <c r="CF26" s="213"/>
      <c r="CG26" s="213"/>
      <c r="CH26" s="213"/>
      <c r="CI26" s="214"/>
      <c r="CJ26" s="154">
        <f ca="1">IFERROR(INDEX(AWAKASH!AY$10:AZ$40,MATCH(CK26,AWAKASH!AZ$10:AZ$40,0),1),0)</f>
        <v>0</v>
      </c>
      <c r="CK26" s="161">
        <f t="shared" ca="1" si="3"/>
        <v>43690</v>
      </c>
      <c r="CL26" s="162" t="str">
        <f t="shared" ca="1" si="19"/>
        <v>Tue</v>
      </c>
      <c r="CM26" s="163" t="str">
        <f t="shared" ca="1" si="20"/>
        <v>दाल-चावल</v>
      </c>
      <c r="CN26" s="219"/>
      <c r="CO26" s="220"/>
      <c r="CP26" s="221"/>
      <c r="CQ26" s="221"/>
      <c r="CR26" s="221"/>
      <c r="CS26" s="221"/>
      <c r="CT26" s="221"/>
      <c r="CU26" s="221"/>
      <c r="CV26" s="221"/>
      <c r="CW26" s="221"/>
      <c r="CX26" s="220"/>
      <c r="CY26" s="221"/>
      <c r="CZ26" s="221"/>
      <c r="DA26" s="221"/>
      <c r="DB26" s="221"/>
      <c r="DC26" s="221"/>
      <c r="DD26" s="221"/>
      <c r="DE26" s="221"/>
      <c r="DF26" s="221"/>
      <c r="DG26" s="221"/>
      <c r="DH26" s="222"/>
      <c r="DI26" s="154">
        <f ca="1">IFERROR(INDEX(AWAKASH!BM$10:BN$40,MATCH(DJ26,AWAKASH!BN$10:BN$40,0),1),0)</f>
        <v>0</v>
      </c>
      <c r="DJ26" s="164">
        <f t="shared" ca="1" si="4"/>
        <v>43721</v>
      </c>
      <c r="DK26" s="165" t="str">
        <f t="shared" ca="1" si="21"/>
        <v>Fri</v>
      </c>
      <c r="DL26" s="166" t="str">
        <f t="shared" ca="1" si="22"/>
        <v>दाल-रोटी</v>
      </c>
      <c r="DM26" s="227"/>
      <c r="DN26" s="228"/>
      <c r="DO26" s="229"/>
      <c r="DP26" s="229"/>
      <c r="DQ26" s="229"/>
      <c r="DR26" s="229"/>
      <c r="DS26" s="229"/>
      <c r="DT26" s="229"/>
      <c r="DU26" s="229"/>
      <c r="DV26" s="229"/>
      <c r="DW26" s="228"/>
      <c r="DX26" s="229"/>
      <c r="DY26" s="229"/>
      <c r="DZ26" s="229"/>
      <c r="EA26" s="229"/>
      <c r="EB26" s="229"/>
      <c r="EC26" s="229"/>
      <c r="ED26" s="229"/>
      <c r="EE26" s="229"/>
      <c r="EF26" s="229"/>
      <c r="EG26" s="230"/>
      <c r="EH26" s="154">
        <f ca="1">IFERROR(INDEX(AWAKASH!CA$10:CB$40,MATCH(EI26,AWAKASH!CB$10:CB$40,0),1),0)</f>
        <v>0</v>
      </c>
      <c r="EI26" s="167">
        <f t="shared" ca="1" si="5"/>
        <v>43751</v>
      </c>
      <c r="EJ26" s="168" t="str">
        <f t="shared" ca="1" si="23"/>
        <v>Sun</v>
      </c>
      <c r="EK26" s="169">
        <f t="shared" ca="1" si="24"/>
        <v>0</v>
      </c>
      <c r="EL26" s="235"/>
      <c r="EM26" s="236"/>
      <c r="EN26" s="237"/>
      <c r="EO26" s="237"/>
      <c r="EP26" s="237"/>
      <c r="EQ26" s="237"/>
      <c r="ER26" s="237"/>
      <c r="ES26" s="237"/>
      <c r="ET26" s="237"/>
      <c r="EU26" s="237"/>
      <c r="EV26" s="236"/>
      <c r="EW26" s="237"/>
      <c r="EX26" s="237"/>
      <c r="EY26" s="237"/>
      <c r="EZ26" s="237"/>
      <c r="FA26" s="237"/>
      <c r="FB26" s="237"/>
      <c r="FC26" s="237"/>
      <c r="FD26" s="237"/>
      <c r="FE26" s="237"/>
      <c r="FF26" s="238"/>
      <c r="FG26" s="46">
        <f ca="1">IFERROR(INDEX(AWAKASH!FC$10:FD$40,MATCH(FH26,AWAKASH!FD$10:FD$40,0),1),0)</f>
        <v>0</v>
      </c>
      <c r="FH26" s="170">
        <f t="shared" ca="1" si="6"/>
        <v>43782</v>
      </c>
      <c r="FI26" s="171" t="str">
        <f t="shared" ca="1" si="25"/>
        <v>Wed</v>
      </c>
      <c r="FJ26" s="172" t="str">
        <f t="shared" ca="1" si="26"/>
        <v>दाल-रोटी</v>
      </c>
      <c r="FK26" s="195"/>
      <c r="FL26" s="196"/>
      <c r="FM26" s="197"/>
      <c r="FN26" s="197"/>
      <c r="FO26" s="197"/>
      <c r="FP26" s="197"/>
      <c r="FQ26" s="197"/>
      <c r="FR26" s="197"/>
      <c r="FS26" s="197"/>
      <c r="FT26" s="197"/>
      <c r="FU26" s="196"/>
      <c r="FV26" s="197"/>
      <c r="FW26" s="197"/>
      <c r="FX26" s="197"/>
      <c r="FY26" s="197"/>
      <c r="FZ26" s="197"/>
      <c r="GA26" s="197"/>
      <c r="GB26" s="197"/>
      <c r="GC26" s="197"/>
      <c r="GD26" s="197"/>
      <c r="GE26" s="198"/>
      <c r="GF26" s="154">
        <f ca="1">IFERROR(INDEX(AWAKASH!FQ$10:FR$40,MATCH(GG26,AWAKASH!FR$10:FR$40,0),1),0)</f>
        <v>0</v>
      </c>
      <c r="GG26" s="155">
        <f t="shared" ca="1" si="7"/>
        <v>43812</v>
      </c>
      <c r="GH26" s="156" t="str">
        <f t="shared" ca="1" si="27"/>
        <v>Fri</v>
      </c>
      <c r="GI26" s="157" t="str">
        <f t="shared" ca="1" si="28"/>
        <v>दाल-रोटी</v>
      </c>
      <c r="GJ26" s="203"/>
      <c r="GK26" s="204"/>
      <c r="GL26" s="205"/>
      <c r="GM26" s="205"/>
      <c r="GN26" s="205"/>
      <c r="GO26" s="205"/>
      <c r="GP26" s="205"/>
      <c r="GQ26" s="205"/>
      <c r="GR26" s="205"/>
      <c r="GS26" s="205"/>
      <c r="GT26" s="204"/>
      <c r="GU26" s="205"/>
      <c r="GV26" s="205"/>
      <c r="GW26" s="205"/>
      <c r="GX26" s="205"/>
      <c r="GY26" s="205"/>
      <c r="GZ26" s="205"/>
      <c r="HA26" s="205"/>
      <c r="HB26" s="205"/>
      <c r="HC26" s="205"/>
      <c r="HD26" s="206"/>
      <c r="HE26" s="154">
        <f ca="1">IFERROR(INDEX(AWAKASH!GE$10:GF$40,MATCH(HF26,AWAKASH!GF$10:GF$40,0),1),0)</f>
        <v>0</v>
      </c>
      <c r="HF26" s="158">
        <f t="shared" ca="1" si="8"/>
        <v>43843</v>
      </c>
      <c r="HG26" s="159" t="str">
        <f t="shared" ca="1" si="29"/>
        <v>Mon</v>
      </c>
      <c r="HH26" s="160" t="str">
        <f t="shared" ca="1" si="30"/>
        <v>सब्जी-रोटी</v>
      </c>
      <c r="HI26" s="211"/>
      <c r="HJ26" s="212"/>
      <c r="HK26" s="213"/>
      <c r="HL26" s="213"/>
      <c r="HM26" s="213"/>
      <c r="HN26" s="213"/>
      <c r="HO26" s="213"/>
      <c r="HP26" s="213"/>
      <c r="HQ26" s="213"/>
      <c r="HR26" s="213"/>
      <c r="HS26" s="212"/>
      <c r="HT26" s="213"/>
      <c r="HU26" s="213"/>
      <c r="HV26" s="213"/>
      <c r="HW26" s="213"/>
      <c r="HX26" s="213"/>
      <c r="HY26" s="213"/>
      <c r="HZ26" s="213"/>
      <c r="IA26" s="213"/>
      <c r="IB26" s="213"/>
      <c r="IC26" s="214"/>
      <c r="ID26" s="154">
        <f ca="1">IFERROR(INDEX(AWAKASH!GS$10:GT$40,MATCH(IE26,AWAKASH!GT$10:GT$40,0),1),0)</f>
        <v>0</v>
      </c>
      <c r="IE26" s="161">
        <f t="shared" ca="1" si="9"/>
        <v>0</v>
      </c>
      <c r="IF26" s="162" t="str">
        <f t="shared" ca="1" si="31"/>
        <v/>
      </c>
      <c r="IG26" s="163" t="str">
        <f t="shared" ca="1" si="32"/>
        <v/>
      </c>
      <c r="IH26" s="219"/>
      <c r="II26" s="220"/>
      <c r="IJ26" s="221"/>
      <c r="IK26" s="221"/>
      <c r="IL26" s="221"/>
      <c r="IM26" s="221"/>
      <c r="IN26" s="221"/>
      <c r="IO26" s="221"/>
      <c r="IP26" s="221"/>
      <c r="IQ26" s="221"/>
      <c r="IR26" s="220"/>
      <c r="IS26" s="221"/>
      <c r="IT26" s="221"/>
      <c r="IU26" s="221"/>
      <c r="IV26" s="221"/>
      <c r="IW26" s="221"/>
      <c r="IX26" s="221"/>
      <c r="IY26" s="221"/>
      <c r="IZ26" s="221"/>
      <c r="JA26" s="221"/>
      <c r="JB26" s="222"/>
      <c r="JC26" s="154">
        <f ca="1">IFERROR(INDEX(AWAKASH!HG$10:HH$40,MATCH(JD26,AWAKASH!HH$10:HH$40,0),1),0)</f>
        <v>0</v>
      </c>
      <c r="JD26" s="164">
        <f t="shared" ca="1" si="10"/>
        <v>0</v>
      </c>
      <c r="JE26" s="165" t="str">
        <f t="shared" ca="1" si="33"/>
        <v/>
      </c>
      <c r="JF26" s="166" t="str">
        <f t="shared" ca="1" si="34"/>
        <v/>
      </c>
      <c r="JG26" s="227"/>
      <c r="JH26" s="228"/>
      <c r="JI26" s="229"/>
      <c r="JJ26" s="229"/>
      <c r="JK26" s="229"/>
      <c r="JL26" s="229"/>
      <c r="JM26" s="229"/>
      <c r="JN26" s="229"/>
      <c r="JO26" s="229"/>
      <c r="JP26" s="229"/>
      <c r="JQ26" s="228"/>
      <c r="JR26" s="229"/>
      <c r="JS26" s="229"/>
      <c r="JT26" s="229"/>
      <c r="JU26" s="229"/>
      <c r="JV26" s="229"/>
      <c r="JW26" s="229"/>
      <c r="JX26" s="229"/>
      <c r="JY26" s="229"/>
      <c r="JZ26" s="229"/>
      <c r="KA26" s="230"/>
      <c r="KB26" s="154">
        <f ca="1">IFERROR(INDEX(AWAKASH!HU$10:HV$40,MATCH(KC26,AWAKASH!HV$10:HV$40,0),1),0)</f>
        <v>0</v>
      </c>
      <c r="KC26" s="167">
        <f t="shared" ca="1" si="11"/>
        <v>0</v>
      </c>
      <c r="KD26" s="168" t="str">
        <f t="shared" ca="1" si="35"/>
        <v/>
      </c>
      <c r="KE26" s="169" t="str">
        <f t="shared" ca="1" si="36"/>
        <v/>
      </c>
      <c r="KF26" s="235"/>
      <c r="KG26" s="236"/>
      <c r="KH26" s="237"/>
      <c r="KI26" s="237"/>
      <c r="KJ26" s="237"/>
      <c r="KK26" s="237"/>
      <c r="KL26" s="237"/>
      <c r="KM26" s="237"/>
      <c r="KN26" s="237"/>
      <c r="KO26" s="237"/>
      <c r="KP26" s="236"/>
      <c r="KQ26" s="237"/>
      <c r="KR26" s="237"/>
      <c r="KS26" s="237"/>
      <c r="KT26" s="237"/>
      <c r="KU26" s="237"/>
      <c r="KV26" s="237"/>
      <c r="KW26" s="237"/>
      <c r="KX26" s="237"/>
      <c r="KY26" s="237"/>
      <c r="KZ26" s="238"/>
      <c r="LA26" s="46"/>
    </row>
    <row r="27" spans="1:313" ht="20.100000000000001" customHeight="1" x14ac:dyDescent="0.25">
      <c r="A27" s="3">
        <v>14</v>
      </c>
      <c r="D27" s="3">
        <v>2</v>
      </c>
      <c r="E27" s="3" t="s">
        <v>183</v>
      </c>
      <c r="F27" s="3" t="s">
        <v>152</v>
      </c>
      <c r="G27" s="3">
        <v>1</v>
      </c>
      <c r="M27" s="46">
        <f ca="1">IFERROR(INDEX(AWAKASH!I$10:J$40,MATCH(N27,AWAKASH!J$10:J$40,0),1),0)</f>
        <v>0</v>
      </c>
      <c r="N27" s="170">
        <f t="shared" ca="1" si="0"/>
        <v>43599</v>
      </c>
      <c r="O27" s="171" t="str">
        <f t="shared" ca="1" si="13"/>
        <v>Tue</v>
      </c>
      <c r="P27" s="172" t="str">
        <f t="shared" ca="1" si="14"/>
        <v>दाल-चावल</v>
      </c>
      <c r="Q27" s="195"/>
      <c r="R27" s="196"/>
      <c r="S27" s="193"/>
      <c r="T27" s="197"/>
      <c r="U27" s="197"/>
      <c r="V27" s="197"/>
      <c r="W27" s="197"/>
      <c r="X27" s="197"/>
      <c r="Y27" s="197"/>
      <c r="Z27" s="197"/>
      <c r="AA27" s="196"/>
      <c r="AB27" s="197"/>
      <c r="AC27" s="197"/>
      <c r="AD27" s="197"/>
      <c r="AE27" s="197"/>
      <c r="AF27" s="197"/>
      <c r="AG27" s="197"/>
      <c r="AH27" s="197"/>
      <c r="AI27" s="197"/>
      <c r="AJ27" s="197"/>
      <c r="AK27" s="198"/>
      <c r="AL27" s="154">
        <f ca="1">IFERROR(INDEX(AWAKASH!W$10:X$40,MATCH(AM27,AWAKASH!X$10:X$40,0),1),0)</f>
        <v>0</v>
      </c>
      <c r="AM27" s="155">
        <f t="shared" ca="1" si="1"/>
        <v>43630</v>
      </c>
      <c r="AN27" s="156" t="str">
        <f t="shared" ca="1" si="15"/>
        <v>Fri</v>
      </c>
      <c r="AO27" s="157" t="str">
        <f t="shared" ca="1" si="16"/>
        <v>दाल-रोटी</v>
      </c>
      <c r="AP27" s="203"/>
      <c r="AQ27" s="204"/>
      <c r="AR27" s="205"/>
      <c r="AS27" s="205"/>
      <c r="AT27" s="205"/>
      <c r="AU27" s="205"/>
      <c r="AV27" s="205"/>
      <c r="AW27" s="205"/>
      <c r="AX27" s="205"/>
      <c r="AY27" s="205"/>
      <c r="AZ27" s="204"/>
      <c r="BA27" s="205"/>
      <c r="BB27" s="205"/>
      <c r="BC27" s="205"/>
      <c r="BD27" s="205"/>
      <c r="BE27" s="205"/>
      <c r="BF27" s="205"/>
      <c r="BG27" s="205"/>
      <c r="BH27" s="205"/>
      <c r="BI27" s="205"/>
      <c r="BJ27" s="206"/>
      <c r="BK27" s="154">
        <f ca="1">IFERROR(INDEX(AWAKASH!AK$10:AL$40,MATCH(BL27,AWAKASH!AL$10:AL$40,0),1),0)</f>
        <v>0</v>
      </c>
      <c r="BL27" s="158">
        <f t="shared" ca="1" si="2"/>
        <v>43660</v>
      </c>
      <c r="BM27" s="159" t="str">
        <f t="shared" ca="1" si="17"/>
        <v>Sun</v>
      </c>
      <c r="BN27" s="160">
        <f t="shared" ca="1" si="18"/>
        <v>0</v>
      </c>
      <c r="BO27" s="211"/>
      <c r="BP27" s="212"/>
      <c r="BQ27" s="213"/>
      <c r="BR27" s="213"/>
      <c r="BS27" s="213"/>
      <c r="BT27" s="213"/>
      <c r="BU27" s="213"/>
      <c r="BV27" s="213"/>
      <c r="BW27" s="213"/>
      <c r="BX27" s="213"/>
      <c r="BY27" s="212"/>
      <c r="BZ27" s="213"/>
      <c r="CA27" s="213"/>
      <c r="CB27" s="213"/>
      <c r="CC27" s="213"/>
      <c r="CD27" s="213"/>
      <c r="CE27" s="213"/>
      <c r="CF27" s="213"/>
      <c r="CG27" s="213"/>
      <c r="CH27" s="213"/>
      <c r="CI27" s="214"/>
      <c r="CJ27" s="154">
        <f ca="1">IFERROR(INDEX(AWAKASH!AY$10:AZ$40,MATCH(CK27,AWAKASH!AZ$10:AZ$40,0),1),0)</f>
        <v>0</v>
      </c>
      <c r="CK27" s="161">
        <f t="shared" ca="1" si="3"/>
        <v>43691</v>
      </c>
      <c r="CL27" s="162" t="str">
        <f t="shared" ca="1" si="19"/>
        <v>Wed</v>
      </c>
      <c r="CM27" s="163" t="str">
        <f t="shared" ca="1" si="20"/>
        <v>दाल-रोटी</v>
      </c>
      <c r="CN27" s="219"/>
      <c r="CO27" s="220"/>
      <c r="CP27" s="221"/>
      <c r="CQ27" s="221"/>
      <c r="CR27" s="221"/>
      <c r="CS27" s="221"/>
      <c r="CT27" s="221"/>
      <c r="CU27" s="221"/>
      <c r="CV27" s="221"/>
      <c r="CW27" s="221"/>
      <c r="CX27" s="220"/>
      <c r="CY27" s="221"/>
      <c r="CZ27" s="221"/>
      <c r="DA27" s="221"/>
      <c r="DB27" s="221"/>
      <c r="DC27" s="221"/>
      <c r="DD27" s="221"/>
      <c r="DE27" s="221"/>
      <c r="DF27" s="221"/>
      <c r="DG27" s="221"/>
      <c r="DH27" s="222"/>
      <c r="DI27" s="154">
        <f ca="1">IFERROR(INDEX(AWAKASH!BM$10:BN$40,MATCH(DJ27,AWAKASH!BN$10:BN$40,0),1),0)</f>
        <v>0</v>
      </c>
      <c r="DJ27" s="164">
        <f t="shared" ca="1" si="4"/>
        <v>43722</v>
      </c>
      <c r="DK27" s="165" t="str">
        <f t="shared" ca="1" si="21"/>
        <v>Sat</v>
      </c>
      <c r="DL27" s="166" t="str">
        <f t="shared" ca="1" si="22"/>
        <v>सब्जी-रोटी</v>
      </c>
      <c r="DM27" s="227"/>
      <c r="DN27" s="228"/>
      <c r="DO27" s="229"/>
      <c r="DP27" s="229"/>
      <c r="DQ27" s="229"/>
      <c r="DR27" s="229"/>
      <c r="DS27" s="229"/>
      <c r="DT27" s="229"/>
      <c r="DU27" s="229"/>
      <c r="DV27" s="229"/>
      <c r="DW27" s="228"/>
      <c r="DX27" s="229"/>
      <c r="DY27" s="229"/>
      <c r="DZ27" s="229"/>
      <c r="EA27" s="229"/>
      <c r="EB27" s="229"/>
      <c r="EC27" s="229"/>
      <c r="ED27" s="229"/>
      <c r="EE27" s="229"/>
      <c r="EF27" s="229"/>
      <c r="EG27" s="230"/>
      <c r="EH27" s="154">
        <f ca="1">IFERROR(INDEX(AWAKASH!CA$10:CB$40,MATCH(EI27,AWAKASH!CB$10:CB$40,0),1),0)</f>
        <v>0</v>
      </c>
      <c r="EI27" s="167">
        <f t="shared" ca="1" si="5"/>
        <v>43752</v>
      </c>
      <c r="EJ27" s="168" t="str">
        <f t="shared" ca="1" si="23"/>
        <v>Mon</v>
      </c>
      <c r="EK27" s="169" t="str">
        <f t="shared" ca="1" si="24"/>
        <v>सब्जी-रोटी</v>
      </c>
      <c r="EL27" s="235"/>
      <c r="EM27" s="236"/>
      <c r="EN27" s="237"/>
      <c r="EO27" s="237"/>
      <c r="EP27" s="237"/>
      <c r="EQ27" s="237"/>
      <c r="ER27" s="237"/>
      <c r="ES27" s="237"/>
      <c r="ET27" s="237"/>
      <c r="EU27" s="237"/>
      <c r="EV27" s="236"/>
      <c r="EW27" s="237"/>
      <c r="EX27" s="237"/>
      <c r="EY27" s="237"/>
      <c r="EZ27" s="237"/>
      <c r="FA27" s="237"/>
      <c r="FB27" s="237"/>
      <c r="FC27" s="237"/>
      <c r="FD27" s="237"/>
      <c r="FE27" s="237"/>
      <c r="FF27" s="238"/>
      <c r="FG27" s="46">
        <f ca="1">IFERROR(INDEX(AWAKASH!FC$10:FD$40,MATCH(FH27,AWAKASH!FD$10:FD$40,0),1),0)</f>
        <v>0</v>
      </c>
      <c r="FH27" s="170">
        <f t="shared" ca="1" si="6"/>
        <v>43783</v>
      </c>
      <c r="FI27" s="171" t="str">
        <f t="shared" ca="1" si="25"/>
        <v>Thu</v>
      </c>
      <c r="FJ27" s="172" t="str">
        <f t="shared" ca="1" si="26"/>
        <v>खिचड़ी-सब्जी</v>
      </c>
      <c r="FK27" s="195"/>
      <c r="FL27" s="196"/>
      <c r="FM27" s="197"/>
      <c r="FN27" s="197"/>
      <c r="FO27" s="197"/>
      <c r="FP27" s="197"/>
      <c r="FQ27" s="197"/>
      <c r="FR27" s="197"/>
      <c r="FS27" s="197"/>
      <c r="FT27" s="197"/>
      <c r="FU27" s="196"/>
      <c r="FV27" s="197"/>
      <c r="FW27" s="197"/>
      <c r="FX27" s="197"/>
      <c r="FY27" s="197"/>
      <c r="FZ27" s="197"/>
      <c r="GA27" s="197"/>
      <c r="GB27" s="197"/>
      <c r="GC27" s="197"/>
      <c r="GD27" s="197"/>
      <c r="GE27" s="198"/>
      <c r="GF27" s="154">
        <f ca="1">IFERROR(INDEX(AWAKASH!FQ$10:FR$40,MATCH(GG27,AWAKASH!FR$10:FR$40,0),1),0)</f>
        <v>0</v>
      </c>
      <c r="GG27" s="155">
        <f t="shared" ca="1" si="7"/>
        <v>43813</v>
      </c>
      <c r="GH27" s="156" t="str">
        <f t="shared" ca="1" si="27"/>
        <v>Sat</v>
      </c>
      <c r="GI27" s="157" t="str">
        <f t="shared" ca="1" si="28"/>
        <v>सब्जी-रोटी</v>
      </c>
      <c r="GJ27" s="203"/>
      <c r="GK27" s="204"/>
      <c r="GL27" s="205"/>
      <c r="GM27" s="205"/>
      <c r="GN27" s="205"/>
      <c r="GO27" s="205"/>
      <c r="GP27" s="205"/>
      <c r="GQ27" s="205"/>
      <c r="GR27" s="205"/>
      <c r="GS27" s="205"/>
      <c r="GT27" s="204"/>
      <c r="GU27" s="205"/>
      <c r="GV27" s="205"/>
      <c r="GW27" s="205"/>
      <c r="GX27" s="205"/>
      <c r="GY27" s="205"/>
      <c r="GZ27" s="205"/>
      <c r="HA27" s="205"/>
      <c r="HB27" s="205"/>
      <c r="HC27" s="205"/>
      <c r="HD27" s="206"/>
      <c r="HE27" s="154">
        <f ca="1">IFERROR(INDEX(AWAKASH!GE$10:GF$40,MATCH(HF27,AWAKASH!GF$10:GF$40,0),1),0)</f>
        <v>0</v>
      </c>
      <c r="HF27" s="158">
        <f t="shared" ca="1" si="8"/>
        <v>43844</v>
      </c>
      <c r="HG27" s="159" t="str">
        <f t="shared" ca="1" si="29"/>
        <v>Tue</v>
      </c>
      <c r="HH27" s="160" t="str">
        <f t="shared" ca="1" si="30"/>
        <v>दाल-चावल</v>
      </c>
      <c r="HI27" s="211"/>
      <c r="HJ27" s="212"/>
      <c r="HK27" s="213"/>
      <c r="HL27" s="213"/>
      <c r="HM27" s="213"/>
      <c r="HN27" s="213"/>
      <c r="HO27" s="213"/>
      <c r="HP27" s="213"/>
      <c r="HQ27" s="213"/>
      <c r="HR27" s="213"/>
      <c r="HS27" s="212"/>
      <c r="HT27" s="213"/>
      <c r="HU27" s="213"/>
      <c r="HV27" s="213"/>
      <c r="HW27" s="213"/>
      <c r="HX27" s="213"/>
      <c r="HY27" s="213"/>
      <c r="HZ27" s="213"/>
      <c r="IA27" s="213"/>
      <c r="IB27" s="213"/>
      <c r="IC27" s="214"/>
      <c r="ID27" s="154">
        <f ca="1">IFERROR(INDEX(AWAKASH!GS$10:GT$40,MATCH(IE27,AWAKASH!GT$10:GT$40,0),1),0)</f>
        <v>0</v>
      </c>
      <c r="IE27" s="161">
        <f t="shared" ca="1" si="9"/>
        <v>0</v>
      </c>
      <c r="IF27" s="162" t="str">
        <f t="shared" ca="1" si="31"/>
        <v/>
      </c>
      <c r="IG27" s="163" t="str">
        <f t="shared" ca="1" si="32"/>
        <v/>
      </c>
      <c r="IH27" s="219"/>
      <c r="II27" s="220"/>
      <c r="IJ27" s="221"/>
      <c r="IK27" s="221"/>
      <c r="IL27" s="221"/>
      <c r="IM27" s="221"/>
      <c r="IN27" s="221"/>
      <c r="IO27" s="221"/>
      <c r="IP27" s="221"/>
      <c r="IQ27" s="221"/>
      <c r="IR27" s="220"/>
      <c r="IS27" s="221"/>
      <c r="IT27" s="221"/>
      <c r="IU27" s="221"/>
      <c r="IV27" s="221"/>
      <c r="IW27" s="221"/>
      <c r="IX27" s="221"/>
      <c r="IY27" s="221"/>
      <c r="IZ27" s="221"/>
      <c r="JA27" s="221"/>
      <c r="JB27" s="222"/>
      <c r="JC27" s="154">
        <f ca="1">IFERROR(INDEX(AWAKASH!HG$10:HH$40,MATCH(JD27,AWAKASH!HH$10:HH$40,0),1),0)</f>
        <v>0</v>
      </c>
      <c r="JD27" s="164">
        <f t="shared" ca="1" si="10"/>
        <v>0</v>
      </c>
      <c r="JE27" s="165" t="str">
        <f t="shared" ca="1" si="33"/>
        <v/>
      </c>
      <c r="JF27" s="166" t="str">
        <f t="shared" ca="1" si="34"/>
        <v/>
      </c>
      <c r="JG27" s="227"/>
      <c r="JH27" s="228"/>
      <c r="JI27" s="229"/>
      <c r="JJ27" s="229"/>
      <c r="JK27" s="229"/>
      <c r="JL27" s="229"/>
      <c r="JM27" s="229"/>
      <c r="JN27" s="229"/>
      <c r="JO27" s="229"/>
      <c r="JP27" s="229"/>
      <c r="JQ27" s="228"/>
      <c r="JR27" s="229"/>
      <c r="JS27" s="229"/>
      <c r="JT27" s="229"/>
      <c r="JU27" s="229"/>
      <c r="JV27" s="229"/>
      <c r="JW27" s="229"/>
      <c r="JX27" s="229"/>
      <c r="JY27" s="229"/>
      <c r="JZ27" s="229"/>
      <c r="KA27" s="230"/>
      <c r="KB27" s="154">
        <f ca="1">IFERROR(INDEX(AWAKASH!HU$10:HV$40,MATCH(KC27,AWAKASH!HV$10:HV$40,0),1),0)</f>
        <v>0</v>
      </c>
      <c r="KC27" s="167">
        <f t="shared" ca="1" si="11"/>
        <v>0</v>
      </c>
      <c r="KD27" s="168" t="str">
        <f t="shared" ca="1" si="35"/>
        <v/>
      </c>
      <c r="KE27" s="169" t="str">
        <f t="shared" ca="1" si="36"/>
        <v/>
      </c>
      <c r="KF27" s="235"/>
      <c r="KG27" s="236"/>
      <c r="KH27" s="237"/>
      <c r="KI27" s="237"/>
      <c r="KJ27" s="237"/>
      <c r="KK27" s="237"/>
      <c r="KL27" s="237"/>
      <c r="KM27" s="237"/>
      <c r="KN27" s="237"/>
      <c r="KO27" s="237"/>
      <c r="KP27" s="236"/>
      <c r="KQ27" s="237"/>
      <c r="KR27" s="237"/>
      <c r="KS27" s="237"/>
      <c r="KT27" s="237"/>
      <c r="KU27" s="237"/>
      <c r="KV27" s="237"/>
      <c r="KW27" s="237"/>
      <c r="KX27" s="237"/>
      <c r="KY27" s="237"/>
      <c r="KZ27" s="238"/>
      <c r="LA27" s="46"/>
    </row>
    <row r="28" spans="1:313" ht="20.100000000000001" customHeight="1" x14ac:dyDescent="0.25">
      <c r="A28" s="3">
        <v>15</v>
      </c>
      <c r="D28" s="3">
        <v>3</v>
      </c>
      <c r="E28" s="3" t="s">
        <v>184</v>
      </c>
      <c r="F28" s="3" t="s">
        <v>150</v>
      </c>
      <c r="G28" s="3">
        <v>2</v>
      </c>
      <c r="M28" s="46">
        <f ca="1">IFERROR(INDEX(AWAKASH!I$10:J$40,MATCH(N28,AWAKASH!J$10:J$40,0),1),0)</f>
        <v>0</v>
      </c>
      <c r="N28" s="170">
        <f t="shared" ca="1" si="0"/>
        <v>43600</v>
      </c>
      <c r="O28" s="171" t="str">
        <f t="shared" ca="1" si="13"/>
        <v>Wed</v>
      </c>
      <c r="P28" s="172" t="str">
        <f t="shared" ca="1" si="14"/>
        <v>दाल-रोटी</v>
      </c>
      <c r="Q28" s="195"/>
      <c r="R28" s="196"/>
      <c r="S28" s="193"/>
      <c r="T28" s="197"/>
      <c r="U28" s="197"/>
      <c r="V28" s="197"/>
      <c r="W28" s="197"/>
      <c r="X28" s="197"/>
      <c r="Y28" s="197"/>
      <c r="Z28" s="197"/>
      <c r="AA28" s="196"/>
      <c r="AB28" s="197"/>
      <c r="AC28" s="197"/>
      <c r="AD28" s="197"/>
      <c r="AE28" s="197"/>
      <c r="AF28" s="197"/>
      <c r="AG28" s="197"/>
      <c r="AH28" s="197"/>
      <c r="AI28" s="197"/>
      <c r="AJ28" s="197"/>
      <c r="AK28" s="198"/>
      <c r="AL28" s="154">
        <f ca="1">IFERROR(INDEX(AWAKASH!W$10:X$40,MATCH(AM28,AWAKASH!X$10:X$40,0),1),0)</f>
        <v>0</v>
      </c>
      <c r="AM28" s="155">
        <f t="shared" ca="1" si="1"/>
        <v>43631</v>
      </c>
      <c r="AN28" s="156" t="str">
        <f t="shared" ca="1" si="15"/>
        <v>Sat</v>
      </c>
      <c r="AO28" s="157" t="str">
        <f t="shared" ca="1" si="16"/>
        <v>सब्जी-रोटी</v>
      </c>
      <c r="AP28" s="203"/>
      <c r="AQ28" s="204"/>
      <c r="AR28" s="205"/>
      <c r="AS28" s="205"/>
      <c r="AT28" s="205"/>
      <c r="AU28" s="205"/>
      <c r="AV28" s="205"/>
      <c r="AW28" s="205"/>
      <c r="AX28" s="205"/>
      <c r="AY28" s="205"/>
      <c r="AZ28" s="204"/>
      <c r="BA28" s="205"/>
      <c r="BB28" s="205"/>
      <c r="BC28" s="205"/>
      <c r="BD28" s="205"/>
      <c r="BE28" s="205"/>
      <c r="BF28" s="205"/>
      <c r="BG28" s="205"/>
      <c r="BH28" s="205"/>
      <c r="BI28" s="205"/>
      <c r="BJ28" s="206"/>
      <c r="BK28" s="154">
        <f ca="1">IFERROR(INDEX(AWAKASH!AK$10:AL$40,MATCH(BL28,AWAKASH!AL$10:AL$40,0),1),0)</f>
        <v>0</v>
      </c>
      <c r="BL28" s="158">
        <f t="shared" ca="1" si="2"/>
        <v>43661</v>
      </c>
      <c r="BM28" s="159" t="str">
        <f t="shared" ca="1" si="17"/>
        <v>Mon</v>
      </c>
      <c r="BN28" s="160" t="str">
        <f t="shared" ca="1" si="18"/>
        <v>सब्जी-रोटी</v>
      </c>
      <c r="BO28" s="211"/>
      <c r="BP28" s="212"/>
      <c r="BQ28" s="213"/>
      <c r="BR28" s="213"/>
      <c r="BS28" s="213"/>
      <c r="BT28" s="213"/>
      <c r="BU28" s="213"/>
      <c r="BV28" s="213"/>
      <c r="BW28" s="213"/>
      <c r="BX28" s="213"/>
      <c r="BY28" s="212"/>
      <c r="BZ28" s="213"/>
      <c r="CA28" s="213"/>
      <c r="CB28" s="213"/>
      <c r="CC28" s="213"/>
      <c r="CD28" s="213"/>
      <c r="CE28" s="213"/>
      <c r="CF28" s="213"/>
      <c r="CG28" s="213"/>
      <c r="CH28" s="213"/>
      <c r="CI28" s="214"/>
      <c r="CJ28" s="154">
        <f ca="1">IFERROR(INDEX(AWAKASH!AY$10:AZ$40,MATCH(CK28,AWAKASH!AZ$10:AZ$40,0),1),0)</f>
        <v>0</v>
      </c>
      <c r="CK28" s="161">
        <f t="shared" ca="1" si="3"/>
        <v>43692</v>
      </c>
      <c r="CL28" s="162" t="str">
        <f t="shared" ca="1" si="19"/>
        <v>Thu</v>
      </c>
      <c r="CM28" s="163" t="str">
        <f t="shared" ca="1" si="20"/>
        <v>खिचड़ी-सब्जी</v>
      </c>
      <c r="CN28" s="219"/>
      <c r="CO28" s="220"/>
      <c r="CP28" s="221"/>
      <c r="CQ28" s="221"/>
      <c r="CR28" s="221"/>
      <c r="CS28" s="221"/>
      <c r="CT28" s="221"/>
      <c r="CU28" s="221"/>
      <c r="CV28" s="221"/>
      <c r="CW28" s="221"/>
      <c r="CX28" s="220"/>
      <c r="CY28" s="221"/>
      <c r="CZ28" s="221"/>
      <c r="DA28" s="221"/>
      <c r="DB28" s="221"/>
      <c r="DC28" s="221"/>
      <c r="DD28" s="221"/>
      <c r="DE28" s="221"/>
      <c r="DF28" s="221"/>
      <c r="DG28" s="221"/>
      <c r="DH28" s="222"/>
      <c r="DI28" s="154">
        <f ca="1">IFERROR(INDEX(AWAKASH!BM$10:BN$40,MATCH(DJ28,AWAKASH!BN$10:BN$40,0),1),0)</f>
        <v>0</v>
      </c>
      <c r="DJ28" s="164">
        <f t="shared" ca="1" si="4"/>
        <v>43723</v>
      </c>
      <c r="DK28" s="165" t="str">
        <f t="shared" ca="1" si="21"/>
        <v>Sun</v>
      </c>
      <c r="DL28" s="166">
        <f t="shared" ca="1" si="22"/>
        <v>0</v>
      </c>
      <c r="DM28" s="227"/>
      <c r="DN28" s="228"/>
      <c r="DO28" s="229"/>
      <c r="DP28" s="229"/>
      <c r="DQ28" s="229"/>
      <c r="DR28" s="229"/>
      <c r="DS28" s="229"/>
      <c r="DT28" s="229"/>
      <c r="DU28" s="229"/>
      <c r="DV28" s="229"/>
      <c r="DW28" s="228"/>
      <c r="DX28" s="229"/>
      <c r="DY28" s="229"/>
      <c r="DZ28" s="229"/>
      <c r="EA28" s="229"/>
      <c r="EB28" s="229"/>
      <c r="EC28" s="229"/>
      <c r="ED28" s="229"/>
      <c r="EE28" s="229"/>
      <c r="EF28" s="229"/>
      <c r="EG28" s="230"/>
      <c r="EH28" s="154">
        <f ca="1">IFERROR(INDEX(AWAKASH!CA$10:CB$40,MATCH(EI28,AWAKASH!CB$10:CB$40,0),1),0)</f>
        <v>0</v>
      </c>
      <c r="EI28" s="167">
        <f t="shared" ca="1" si="5"/>
        <v>43753</v>
      </c>
      <c r="EJ28" s="168" t="str">
        <f t="shared" ca="1" si="23"/>
        <v>Tue</v>
      </c>
      <c r="EK28" s="169" t="str">
        <f t="shared" ca="1" si="24"/>
        <v>दाल-चावल</v>
      </c>
      <c r="EL28" s="235"/>
      <c r="EM28" s="236"/>
      <c r="EN28" s="237"/>
      <c r="EO28" s="237"/>
      <c r="EP28" s="237"/>
      <c r="EQ28" s="237"/>
      <c r="ER28" s="237"/>
      <c r="ES28" s="237"/>
      <c r="ET28" s="237"/>
      <c r="EU28" s="237"/>
      <c r="EV28" s="236"/>
      <c r="EW28" s="237"/>
      <c r="EX28" s="237"/>
      <c r="EY28" s="237"/>
      <c r="EZ28" s="237"/>
      <c r="FA28" s="237"/>
      <c r="FB28" s="237"/>
      <c r="FC28" s="237"/>
      <c r="FD28" s="237"/>
      <c r="FE28" s="237"/>
      <c r="FF28" s="238"/>
      <c r="FG28" s="46">
        <f ca="1">IFERROR(INDEX(AWAKASH!FC$10:FD$40,MATCH(FH28,AWAKASH!FD$10:FD$40,0),1),0)</f>
        <v>0</v>
      </c>
      <c r="FH28" s="170">
        <f t="shared" ca="1" si="6"/>
        <v>43784</v>
      </c>
      <c r="FI28" s="171" t="str">
        <f t="shared" ca="1" si="25"/>
        <v>Fri</v>
      </c>
      <c r="FJ28" s="172" t="str">
        <f t="shared" ca="1" si="26"/>
        <v>दाल-रोटी</v>
      </c>
      <c r="FK28" s="195"/>
      <c r="FL28" s="196"/>
      <c r="FM28" s="197"/>
      <c r="FN28" s="197"/>
      <c r="FO28" s="197"/>
      <c r="FP28" s="197"/>
      <c r="FQ28" s="197"/>
      <c r="FR28" s="197"/>
      <c r="FS28" s="197"/>
      <c r="FT28" s="197"/>
      <c r="FU28" s="196"/>
      <c r="FV28" s="197"/>
      <c r="FW28" s="197"/>
      <c r="FX28" s="197"/>
      <c r="FY28" s="197"/>
      <c r="FZ28" s="197"/>
      <c r="GA28" s="197"/>
      <c r="GB28" s="197"/>
      <c r="GC28" s="197"/>
      <c r="GD28" s="197"/>
      <c r="GE28" s="198"/>
      <c r="GF28" s="154">
        <f ca="1">IFERROR(INDEX(AWAKASH!FQ$10:FR$40,MATCH(GG28,AWAKASH!FR$10:FR$40,0),1),0)</f>
        <v>0</v>
      </c>
      <c r="GG28" s="155">
        <f t="shared" ca="1" si="7"/>
        <v>43814</v>
      </c>
      <c r="GH28" s="156" t="str">
        <f t="shared" ca="1" si="27"/>
        <v>Sun</v>
      </c>
      <c r="GI28" s="157">
        <f t="shared" ca="1" si="28"/>
        <v>0</v>
      </c>
      <c r="GJ28" s="203"/>
      <c r="GK28" s="204"/>
      <c r="GL28" s="205"/>
      <c r="GM28" s="205"/>
      <c r="GN28" s="205"/>
      <c r="GO28" s="205"/>
      <c r="GP28" s="205"/>
      <c r="GQ28" s="205"/>
      <c r="GR28" s="205"/>
      <c r="GS28" s="205"/>
      <c r="GT28" s="204"/>
      <c r="GU28" s="205"/>
      <c r="GV28" s="205"/>
      <c r="GW28" s="205"/>
      <c r="GX28" s="205"/>
      <c r="GY28" s="205"/>
      <c r="GZ28" s="205"/>
      <c r="HA28" s="205"/>
      <c r="HB28" s="205"/>
      <c r="HC28" s="205"/>
      <c r="HD28" s="206"/>
      <c r="HE28" s="154">
        <f ca="1">IFERROR(INDEX(AWAKASH!GE$10:GF$40,MATCH(HF28,AWAKASH!GF$10:GF$40,0),1),0)</f>
        <v>0</v>
      </c>
      <c r="HF28" s="158">
        <f t="shared" ca="1" si="8"/>
        <v>43845</v>
      </c>
      <c r="HG28" s="159" t="str">
        <f t="shared" ca="1" si="29"/>
        <v>Wed</v>
      </c>
      <c r="HH28" s="160" t="str">
        <f t="shared" ca="1" si="30"/>
        <v>दाल-रोटी</v>
      </c>
      <c r="HI28" s="211"/>
      <c r="HJ28" s="212"/>
      <c r="HK28" s="213"/>
      <c r="HL28" s="213"/>
      <c r="HM28" s="213"/>
      <c r="HN28" s="213"/>
      <c r="HO28" s="213"/>
      <c r="HP28" s="213"/>
      <c r="HQ28" s="213"/>
      <c r="HR28" s="213"/>
      <c r="HS28" s="212"/>
      <c r="HT28" s="213"/>
      <c r="HU28" s="213"/>
      <c r="HV28" s="213"/>
      <c r="HW28" s="213"/>
      <c r="HX28" s="213"/>
      <c r="HY28" s="213"/>
      <c r="HZ28" s="213"/>
      <c r="IA28" s="213"/>
      <c r="IB28" s="213"/>
      <c r="IC28" s="214"/>
      <c r="ID28" s="154">
        <f ca="1">IFERROR(INDEX(AWAKASH!GS$10:GT$40,MATCH(IE28,AWAKASH!GT$10:GT$40,0),1),0)</f>
        <v>0</v>
      </c>
      <c r="IE28" s="161">
        <f t="shared" ca="1" si="9"/>
        <v>0</v>
      </c>
      <c r="IF28" s="162" t="str">
        <f t="shared" ca="1" si="31"/>
        <v/>
      </c>
      <c r="IG28" s="163" t="str">
        <f t="shared" ca="1" si="32"/>
        <v/>
      </c>
      <c r="IH28" s="219"/>
      <c r="II28" s="220"/>
      <c r="IJ28" s="221"/>
      <c r="IK28" s="221"/>
      <c r="IL28" s="221"/>
      <c r="IM28" s="221"/>
      <c r="IN28" s="221"/>
      <c r="IO28" s="221"/>
      <c r="IP28" s="221"/>
      <c r="IQ28" s="221"/>
      <c r="IR28" s="220"/>
      <c r="IS28" s="221"/>
      <c r="IT28" s="221"/>
      <c r="IU28" s="221"/>
      <c r="IV28" s="221"/>
      <c r="IW28" s="221"/>
      <c r="IX28" s="221"/>
      <c r="IY28" s="221"/>
      <c r="IZ28" s="221"/>
      <c r="JA28" s="221"/>
      <c r="JB28" s="222"/>
      <c r="JC28" s="154">
        <f ca="1">IFERROR(INDEX(AWAKASH!HG$10:HH$40,MATCH(JD28,AWAKASH!HH$10:HH$40,0),1),0)</f>
        <v>0</v>
      </c>
      <c r="JD28" s="164">
        <f t="shared" ca="1" si="10"/>
        <v>0</v>
      </c>
      <c r="JE28" s="165" t="str">
        <f t="shared" ca="1" si="33"/>
        <v/>
      </c>
      <c r="JF28" s="166" t="str">
        <f t="shared" ca="1" si="34"/>
        <v/>
      </c>
      <c r="JG28" s="227"/>
      <c r="JH28" s="228"/>
      <c r="JI28" s="229"/>
      <c r="JJ28" s="229"/>
      <c r="JK28" s="229"/>
      <c r="JL28" s="229"/>
      <c r="JM28" s="229"/>
      <c r="JN28" s="229"/>
      <c r="JO28" s="229"/>
      <c r="JP28" s="229"/>
      <c r="JQ28" s="228"/>
      <c r="JR28" s="229"/>
      <c r="JS28" s="229"/>
      <c r="JT28" s="229"/>
      <c r="JU28" s="229"/>
      <c r="JV28" s="229"/>
      <c r="JW28" s="229"/>
      <c r="JX28" s="229"/>
      <c r="JY28" s="229"/>
      <c r="JZ28" s="229"/>
      <c r="KA28" s="230"/>
      <c r="KB28" s="154">
        <f ca="1">IFERROR(INDEX(AWAKASH!HU$10:HV$40,MATCH(KC28,AWAKASH!HV$10:HV$40,0),1),0)</f>
        <v>0</v>
      </c>
      <c r="KC28" s="167">
        <f t="shared" ca="1" si="11"/>
        <v>0</v>
      </c>
      <c r="KD28" s="168" t="str">
        <f t="shared" ca="1" si="35"/>
        <v/>
      </c>
      <c r="KE28" s="169" t="str">
        <f t="shared" ca="1" si="36"/>
        <v/>
      </c>
      <c r="KF28" s="235"/>
      <c r="KG28" s="236"/>
      <c r="KH28" s="237"/>
      <c r="KI28" s="237"/>
      <c r="KJ28" s="237"/>
      <c r="KK28" s="237"/>
      <c r="KL28" s="237"/>
      <c r="KM28" s="237"/>
      <c r="KN28" s="237"/>
      <c r="KO28" s="237"/>
      <c r="KP28" s="236"/>
      <c r="KQ28" s="237"/>
      <c r="KR28" s="237"/>
      <c r="KS28" s="237"/>
      <c r="KT28" s="237"/>
      <c r="KU28" s="237"/>
      <c r="KV28" s="237"/>
      <c r="KW28" s="237"/>
      <c r="KX28" s="237"/>
      <c r="KY28" s="237"/>
      <c r="KZ28" s="238"/>
      <c r="LA28" s="46"/>
    </row>
    <row r="29" spans="1:313" ht="20.100000000000001" customHeight="1" x14ac:dyDescent="0.25">
      <c r="A29" s="3">
        <v>16</v>
      </c>
      <c r="D29" s="3">
        <v>4</v>
      </c>
      <c r="E29" s="3" t="s">
        <v>185</v>
      </c>
      <c r="F29" s="3" t="s">
        <v>151</v>
      </c>
      <c r="G29" s="3">
        <v>1</v>
      </c>
      <c r="M29" s="46">
        <f ca="1">IFERROR(INDEX(AWAKASH!I$10:J$40,MATCH(N29,AWAKASH!J$10:J$40,0),1),0)</f>
        <v>0</v>
      </c>
      <c r="N29" s="170">
        <f t="shared" ca="1" si="0"/>
        <v>43601</v>
      </c>
      <c r="O29" s="171" t="str">
        <f t="shared" ca="1" si="13"/>
        <v>Thu</v>
      </c>
      <c r="P29" s="172" t="str">
        <f t="shared" ca="1" si="14"/>
        <v>खिचड़ी-सब्जी</v>
      </c>
      <c r="Q29" s="195"/>
      <c r="R29" s="196"/>
      <c r="S29" s="193"/>
      <c r="T29" s="197"/>
      <c r="U29" s="197"/>
      <c r="V29" s="197"/>
      <c r="W29" s="197"/>
      <c r="X29" s="197"/>
      <c r="Y29" s="197"/>
      <c r="Z29" s="197"/>
      <c r="AA29" s="196"/>
      <c r="AB29" s="197"/>
      <c r="AC29" s="197"/>
      <c r="AD29" s="197"/>
      <c r="AE29" s="197"/>
      <c r="AF29" s="197"/>
      <c r="AG29" s="197"/>
      <c r="AH29" s="197"/>
      <c r="AI29" s="197"/>
      <c r="AJ29" s="197"/>
      <c r="AK29" s="198"/>
      <c r="AL29" s="154">
        <f ca="1">IFERROR(INDEX(AWAKASH!W$10:X$40,MATCH(AM29,AWAKASH!X$10:X$40,0),1),0)</f>
        <v>0</v>
      </c>
      <c r="AM29" s="155">
        <f t="shared" ca="1" si="1"/>
        <v>43632</v>
      </c>
      <c r="AN29" s="156" t="str">
        <f t="shared" ca="1" si="15"/>
        <v>Sun</v>
      </c>
      <c r="AO29" s="157">
        <f t="shared" ca="1" si="16"/>
        <v>0</v>
      </c>
      <c r="AP29" s="203"/>
      <c r="AQ29" s="204"/>
      <c r="AR29" s="205"/>
      <c r="AS29" s="205"/>
      <c r="AT29" s="205"/>
      <c r="AU29" s="205"/>
      <c r="AV29" s="205"/>
      <c r="AW29" s="205"/>
      <c r="AX29" s="205"/>
      <c r="AY29" s="205"/>
      <c r="AZ29" s="204"/>
      <c r="BA29" s="205"/>
      <c r="BB29" s="205"/>
      <c r="BC29" s="205"/>
      <c r="BD29" s="205"/>
      <c r="BE29" s="205"/>
      <c r="BF29" s="205"/>
      <c r="BG29" s="205"/>
      <c r="BH29" s="205"/>
      <c r="BI29" s="205"/>
      <c r="BJ29" s="206"/>
      <c r="BK29" s="154">
        <f ca="1">IFERROR(INDEX(AWAKASH!AK$10:AL$40,MATCH(BL29,AWAKASH!AL$10:AL$40,0),1),0)</f>
        <v>0</v>
      </c>
      <c r="BL29" s="158">
        <f t="shared" ca="1" si="2"/>
        <v>43662</v>
      </c>
      <c r="BM29" s="159" t="str">
        <f t="shared" ca="1" si="17"/>
        <v>Tue</v>
      </c>
      <c r="BN29" s="160" t="str">
        <f t="shared" ca="1" si="18"/>
        <v>दाल-चावल</v>
      </c>
      <c r="BO29" s="211"/>
      <c r="BP29" s="212"/>
      <c r="BQ29" s="213"/>
      <c r="BR29" s="213"/>
      <c r="BS29" s="213"/>
      <c r="BT29" s="213"/>
      <c r="BU29" s="213"/>
      <c r="BV29" s="213"/>
      <c r="BW29" s="213"/>
      <c r="BX29" s="213"/>
      <c r="BY29" s="212"/>
      <c r="BZ29" s="213"/>
      <c r="CA29" s="213"/>
      <c r="CB29" s="213"/>
      <c r="CC29" s="213"/>
      <c r="CD29" s="213"/>
      <c r="CE29" s="213"/>
      <c r="CF29" s="213"/>
      <c r="CG29" s="213"/>
      <c r="CH29" s="213"/>
      <c r="CI29" s="214"/>
      <c r="CJ29" s="154">
        <f ca="1">IFERROR(INDEX(AWAKASH!AY$10:AZ$40,MATCH(CK29,AWAKASH!AZ$10:AZ$40,0),1),0)</f>
        <v>0</v>
      </c>
      <c r="CK29" s="161">
        <f t="shared" ca="1" si="3"/>
        <v>43693</v>
      </c>
      <c r="CL29" s="162" t="str">
        <f t="shared" ca="1" si="19"/>
        <v>Fri</v>
      </c>
      <c r="CM29" s="163" t="str">
        <f t="shared" ca="1" si="20"/>
        <v>दाल-रोटी</v>
      </c>
      <c r="CN29" s="219"/>
      <c r="CO29" s="220"/>
      <c r="CP29" s="221"/>
      <c r="CQ29" s="221"/>
      <c r="CR29" s="221"/>
      <c r="CS29" s="221"/>
      <c r="CT29" s="221"/>
      <c r="CU29" s="221"/>
      <c r="CV29" s="221"/>
      <c r="CW29" s="221"/>
      <c r="CX29" s="220"/>
      <c r="CY29" s="221"/>
      <c r="CZ29" s="221"/>
      <c r="DA29" s="221"/>
      <c r="DB29" s="221"/>
      <c r="DC29" s="221"/>
      <c r="DD29" s="221"/>
      <c r="DE29" s="221"/>
      <c r="DF29" s="221"/>
      <c r="DG29" s="221"/>
      <c r="DH29" s="222"/>
      <c r="DI29" s="154">
        <f ca="1">IFERROR(INDEX(AWAKASH!BM$10:BN$40,MATCH(DJ29,AWAKASH!BN$10:BN$40,0),1),0)</f>
        <v>0</v>
      </c>
      <c r="DJ29" s="164">
        <f t="shared" ca="1" si="4"/>
        <v>43724</v>
      </c>
      <c r="DK29" s="165" t="str">
        <f t="shared" ca="1" si="21"/>
        <v>Mon</v>
      </c>
      <c r="DL29" s="166" t="str">
        <f t="shared" ca="1" si="22"/>
        <v>सब्जी-रोटी</v>
      </c>
      <c r="DM29" s="227"/>
      <c r="DN29" s="228"/>
      <c r="DO29" s="229"/>
      <c r="DP29" s="229"/>
      <c r="DQ29" s="229"/>
      <c r="DR29" s="229"/>
      <c r="DS29" s="229"/>
      <c r="DT29" s="229"/>
      <c r="DU29" s="229"/>
      <c r="DV29" s="229"/>
      <c r="DW29" s="228"/>
      <c r="DX29" s="229"/>
      <c r="DY29" s="229"/>
      <c r="DZ29" s="229"/>
      <c r="EA29" s="229"/>
      <c r="EB29" s="229"/>
      <c r="EC29" s="229"/>
      <c r="ED29" s="229"/>
      <c r="EE29" s="229"/>
      <c r="EF29" s="229"/>
      <c r="EG29" s="230"/>
      <c r="EH29" s="154">
        <f ca="1">IFERROR(INDEX(AWAKASH!CA$10:CB$40,MATCH(EI29,AWAKASH!CB$10:CB$40,0),1),0)</f>
        <v>0</v>
      </c>
      <c r="EI29" s="167">
        <f t="shared" ca="1" si="5"/>
        <v>43754</v>
      </c>
      <c r="EJ29" s="168" t="str">
        <f t="shared" ca="1" si="23"/>
        <v>Wed</v>
      </c>
      <c r="EK29" s="169" t="str">
        <f t="shared" ca="1" si="24"/>
        <v>दाल-रोटी</v>
      </c>
      <c r="EL29" s="235"/>
      <c r="EM29" s="236"/>
      <c r="EN29" s="237"/>
      <c r="EO29" s="237"/>
      <c r="EP29" s="237"/>
      <c r="EQ29" s="237"/>
      <c r="ER29" s="237"/>
      <c r="ES29" s="237"/>
      <c r="ET29" s="237"/>
      <c r="EU29" s="237"/>
      <c r="EV29" s="236"/>
      <c r="EW29" s="237"/>
      <c r="EX29" s="237"/>
      <c r="EY29" s="237"/>
      <c r="EZ29" s="237"/>
      <c r="FA29" s="237"/>
      <c r="FB29" s="237"/>
      <c r="FC29" s="237"/>
      <c r="FD29" s="237"/>
      <c r="FE29" s="237"/>
      <c r="FF29" s="238"/>
      <c r="FG29" s="46">
        <f ca="1">IFERROR(INDEX(AWAKASH!FC$10:FD$40,MATCH(FH29,AWAKASH!FD$10:FD$40,0),1),0)</f>
        <v>0</v>
      </c>
      <c r="FH29" s="170">
        <f t="shared" ca="1" si="6"/>
        <v>43785</v>
      </c>
      <c r="FI29" s="171" t="str">
        <f t="shared" ca="1" si="25"/>
        <v>Sat</v>
      </c>
      <c r="FJ29" s="172" t="str">
        <f t="shared" ca="1" si="26"/>
        <v>सब्जी-रोटी</v>
      </c>
      <c r="FK29" s="195"/>
      <c r="FL29" s="196"/>
      <c r="FM29" s="197"/>
      <c r="FN29" s="197"/>
      <c r="FO29" s="197"/>
      <c r="FP29" s="197"/>
      <c r="FQ29" s="197"/>
      <c r="FR29" s="197"/>
      <c r="FS29" s="197"/>
      <c r="FT29" s="197"/>
      <c r="FU29" s="196"/>
      <c r="FV29" s="197"/>
      <c r="FW29" s="197"/>
      <c r="FX29" s="197"/>
      <c r="FY29" s="197"/>
      <c r="FZ29" s="197"/>
      <c r="GA29" s="197"/>
      <c r="GB29" s="197"/>
      <c r="GC29" s="197"/>
      <c r="GD29" s="197"/>
      <c r="GE29" s="198"/>
      <c r="GF29" s="154">
        <f ca="1">IFERROR(INDEX(AWAKASH!FQ$10:FR$40,MATCH(GG29,AWAKASH!FR$10:FR$40,0),1),0)</f>
        <v>0</v>
      </c>
      <c r="GG29" s="155">
        <f t="shared" ca="1" si="7"/>
        <v>43815</v>
      </c>
      <c r="GH29" s="156" t="str">
        <f t="shared" ca="1" si="27"/>
        <v>Mon</v>
      </c>
      <c r="GI29" s="157" t="str">
        <f t="shared" ca="1" si="28"/>
        <v>सब्जी-रोटी</v>
      </c>
      <c r="GJ29" s="203"/>
      <c r="GK29" s="204"/>
      <c r="GL29" s="205"/>
      <c r="GM29" s="205"/>
      <c r="GN29" s="205"/>
      <c r="GO29" s="205"/>
      <c r="GP29" s="205"/>
      <c r="GQ29" s="205"/>
      <c r="GR29" s="205"/>
      <c r="GS29" s="205"/>
      <c r="GT29" s="204"/>
      <c r="GU29" s="205"/>
      <c r="GV29" s="205"/>
      <c r="GW29" s="205"/>
      <c r="GX29" s="205"/>
      <c r="GY29" s="205"/>
      <c r="GZ29" s="205"/>
      <c r="HA29" s="205"/>
      <c r="HB29" s="205"/>
      <c r="HC29" s="205"/>
      <c r="HD29" s="206"/>
      <c r="HE29" s="154">
        <f ca="1">IFERROR(INDEX(AWAKASH!GE$10:GF$40,MATCH(HF29,AWAKASH!GF$10:GF$40,0),1),0)</f>
        <v>0</v>
      </c>
      <c r="HF29" s="158">
        <f t="shared" ca="1" si="8"/>
        <v>43846</v>
      </c>
      <c r="HG29" s="159" t="str">
        <f t="shared" ca="1" si="29"/>
        <v>Thu</v>
      </c>
      <c r="HH29" s="160" t="str">
        <f t="shared" ca="1" si="30"/>
        <v>खिचड़ी-सब्जी</v>
      </c>
      <c r="HI29" s="211"/>
      <c r="HJ29" s="212"/>
      <c r="HK29" s="213"/>
      <c r="HL29" s="213"/>
      <c r="HM29" s="213"/>
      <c r="HN29" s="213"/>
      <c r="HO29" s="213"/>
      <c r="HP29" s="213"/>
      <c r="HQ29" s="213"/>
      <c r="HR29" s="213"/>
      <c r="HS29" s="212"/>
      <c r="HT29" s="213"/>
      <c r="HU29" s="213"/>
      <c r="HV29" s="213"/>
      <c r="HW29" s="213"/>
      <c r="HX29" s="213"/>
      <c r="HY29" s="213"/>
      <c r="HZ29" s="213"/>
      <c r="IA29" s="213"/>
      <c r="IB29" s="213"/>
      <c r="IC29" s="214"/>
      <c r="ID29" s="154">
        <f ca="1">IFERROR(INDEX(AWAKASH!GS$10:GT$40,MATCH(IE29,AWAKASH!GT$10:GT$40,0),1),0)</f>
        <v>0</v>
      </c>
      <c r="IE29" s="161">
        <f t="shared" ca="1" si="9"/>
        <v>0</v>
      </c>
      <c r="IF29" s="162" t="str">
        <f t="shared" ca="1" si="31"/>
        <v/>
      </c>
      <c r="IG29" s="163" t="str">
        <f t="shared" ca="1" si="32"/>
        <v/>
      </c>
      <c r="IH29" s="219"/>
      <c r="II29" s="220"/>
      <c r="IJ29" s="221"/>
      <c r="IK29" s="221"/>
      <c r="IL29" s="221"/>
      <c r="IM29" s="221"/>
      <c r="IN29" s="221"/>
      <c r="IO29" s="221"/>
      <c r="IP29" s="221"/>
      <c r="IQ29" s="221"/>
      <c r="IR29" s="220"/>
      <c r="IS29" s="221"/>
      <c r="IT29" s="221"/>
      <c r="IU29" s="221"/>
      <c r="IV29" s="221"/>
      <c r="IW29" s="221"/>
      <c r="IX29" s="221"/>
      <c r="IY29" s="221"/>
      <c r="IZ29" s="221"/>
      <c r="JA29" s="221"/>
      <c r="JB29" s="222"/>
      <c r="JC29" s="154">
        <f ca="1">IFERROR(INDEX(AWAKASH!HG$10:HH$40,MATCH(JD29,AWAKASH!HH$10:HH$40,0),1),0)</f>
        <v>0</v>
      </c>
      <c r="JD29" s="164">
        <f t="shared" ca="1" si="10"/>
        <v>0</v>
      </c>
      <c r="JE29" s="165" t="str">
        <f t="shared" ca="1" si="33"/>
        <v/>
      </c>
      <c r="JF29" s="166" t="str">
        <f t="shared" ca="1" si="34"/>
        <v/>
      </c>
      <c r="JG29" s="227"/>
      <c r="JH29" s="228"/>
      <c r="JI29" s="229"/>
      <c r="JJ29" s="229"/>
      <c r="JK29" s="229"/>
      <c r="JL29" s="229"/>
      <c r="JM29" s="229"/>
      <c r="JN29" s="229"/>
      <c r="JO29" s="229"/>
      <c r="JP29" s="229"/>
      <c r="JQ29" s="228"/>
      <c r="JR29" s="229"/>
      <c r="JS29" s="229"/>
      <c r="JT29" s="229"/>
      <c r="JU29" s="229"/>
      <c r="JV29" s="229"/>
      <c r="JW29" s="229"/>
      <c r="JX29" s="229"/>
      <c r="JY29" s="229"/>
      <c r="JZ29" s="229"/>
      <c r="KA29" s="230"/>
      <c r="KB29" s="154">
        <f ca="1">IFERROR(INDEX(AWAKASH!HU$10:HV$40,MATCH(KC29,AWAKASH!HV$10:HV$40,0),1),0)</f>
        <v>0</v>
      </c>
      <c r="KC29" s="167">
        <f t="shared" ca="1" si="11"/>
        <v>0</v>
      </c>
      <c r="KD29" s="168" t="str">
        <f t="shared" ca="1" si="35"/>
        <v/>
      </c>
      <c r="KE29" s="169" t="str">
        <f t="shared" ca="1" si="36"/>
        <v/>
      </c>
      <c r="KF29" s="235"/>
      <c r="KG29" s="236"/>
      <c r="KH29" s="237"/>
      <c r="KI29" s="237"/>
      <c r="KJ29" s="237"/>
      <c r="KK29" s="237"/>
      <c r="KL29" s="237"/>
      <c r="KM29" s="237"/>
      <c r="KN29" s="237"/>
      <c r="KO29" s="237"/>
      <c r="KP29" s="236"/>
      <c r="KQ29" s="237"/>
      <c r="KR29" s="237"/>
      <c r="KS29" s="237"/>
      <c r="KT29" s="237"/>
      <c r="KU29" s="237"/>
      <c r="KV29" s="237"/>
      <c r="KW29" s="237"/>
      <c r="KX29" s="237"/>
      <c r="KY29" s="237"/>
      <c r="KZ29" s="238"/>
      <c r="LA29" s="46"/>
    </row>
    <row r="30" spans="1:313" ht="20.100000000000001" customHeight="1" x14ac:dyDescent="0.25">
      <c r="A30" s="3">
        <v>17</v>
      </c>
      <c r="D30" s="3">
        <v>5</v>
      </c>
      <c r="E30" s="3" t="s">
        <v>186</v>
      </c>
      <c r="F30" s="3" t="s">
        <v>189</v>
      </c>
      <c r="G30" s="3">
        <v>2</v>
      </c>
      <c r="M30" s="46">
        <f ca="1">IFERROR(INDEX(AWAKASH!I$10:J$40,MATCH(N30,AWAKASH!J$10:J$40,0),1),0)</f>
        <v>0</v>
      </c>
      <c r="N30" s="170">
        <f t="shared" ca="1" si="0"/>
        <v>43602</v>
      </c>
      <c r="O30" s="171" t="str">
        <f t="shared" ca="1" si="13"/>
        <v>Fri</v>
      </c>
      <c r="P30" s="172" t="str">
        <f t="shared" ca="1" si="14"/>
        <v>दाल-रोटी</v>
      </c>
      <c r="Q30" s="195"/>
      <c r="R30" s="196"/>
      <c r="S30" s="193"/>
      <c r="T30" s="197"/>
      <c r="U30" s="197"/>
      <c r="V30" s="197"/>
      <c r="W30" s="197"/>
      <c r="X30" s="197"/>
      <c r="Y30" s="197"/>
      <c r="Z30" s="197"/>
      <c r="AA30" s="196"/>
      <c r="AB30" s="197"/>
      <c r="AC30" s="197"/>
      <c r="AD30" s="197"/>
      <c r="AE30" s="197"/>
      <c r="AF30" s="197"/>
      <c r="AG30" s="197"/>
      <c r="AH30" s="197"/>
      <c r="AI30" s="197"/>
      <c r="AJ30" s="197"/>
      <c r="AK30" s="198"/>
      <c r="AL30" s="154">
        <f ca="1">IFERROR(INDEX(AWAKASH!W$10:X$40,MATCH(AM30,AWAKASH!X$10:X$40,0),1),0)</f>
        <v>0</v>
      </c>
      <c r="AM30" s="155">
        <f t="shared" ca="1" si="1"/>
        <v>43633</v>
      </c>
      <c r="AN30" s="156" t="str">
        <f t="shared" ca="1" si="15"/>
        <v>Mon</v>
      </c>
      <c r="AO30" s="157" t="str">
        <f t="shared" ca="1" si="16"/>
        <v>सब्जी-रोटी</v>
      </c>
      <c r="AP30" s="203"/>
      <c r="AQ30" s="204"/>
      <c r="AR30" s="205"/>
      <c r="AS30" s="205"/>
      <c r="AT30" s="205"/>
      <c r="AU30" s="205"/>
      <c r="AV30" s="205"/>
      <c r="AW30" s="205"/>
      <c r="AX30" s="205"/>
      <c r="AY30" s="205"/>
      <c r="AZ30" s="204"/>
      <c r="BA30" s="205"/>
      <c r="BB30" s="205"/>
      <c r="BC30" s="205"/>
      <c r="BD30" s="205"/>
      <c r="BE30" s="205"/>
      <c r="BF30" s="205"/>
      <c r="BG30" s="205"/>
      <c r="BH30" s="205"/>
      <c r="BI30" s="205"/>
      <c r="BJ30" s="206"/>
      <c r="BK30" s="154">
        <f ca="1">IFERROR(INDEX(AWAKASH!AK$10:AL$40,MATCH(BL30,AWAKASH!AL$10:AL$40,0),1),0)</f>
        <v>0</v>
      </c>
      <c r="BL30" s="158">
        <f t="shared" ca="1" si="2"/>
        <v>43663</v>
      </c>
      <c r="BM30" s="159" t="str">
        <f t="shared" ca="1" si="17"/>
        <v>Wed</v>
      </c>
      <c r="BN30" s="160" t="str">
        <f t="shared" ca="1" si="18"/>
        <v>दाल-रोटी</v>
      </c>
      <c r="BO30" s="211"/>
      <c r="BP30" s="212"/>
      <c r="BQ30" s="213"/>
      <c r="BR30" s="213"/>
      <c r="BS30" s="213"/>
      <c r="BT30" s="213"/>
      <c r="BU30" s="213"/>
      <c r="BV30" s="213"/>
      <c r="BW30" s="213"/>
      <c r="BX30" s="213"/>
      <c r="BY30" s="212"/>
      <c r="BZ30" s="213"/>
      <c r="CA30" s="213"/>
      <c r="CB30" s="213"/>
      <c r="CC30" s="213"/>
      <c r="CD30" s="213"/>
      <c r="CE30" s="213"/>
      <c r="CF30" s="213"/>
      <c r="CG30" s="213"/>
      <c r="CH30" s="213"/>
      <c r="CI30" s="214"/>
      <c r="CJ30" s="154">
        <f ca="1">IFERROR(INDEX(AWAKASH!AY$10:AZ$40,MATCH(CK30,AWAKASH!AZ$10:AZ$40,0),1),0)</f>
        <v>0</v>
      </c>
      <c r="CK30" s="161">
        <f t="shared" ca="1" si="3"/>
        <v>43694</v>
      </c>
      <c r="CL30" s="162" t="str">
        <f t="shared" ca="1" si="19"/>
        <v>Sat</v>
      </c>
      <c r="CM30" s="163" t="str">
        <f t="shared" ca="1" si="20"/>
        <v>सब्जी-रोटी</v>
      </c>
      <c r="CN30" s="219"/>
      <c r="CO30" s="220"/>
      <c r="CP30" s="221"/>
      <c r="CQ30" s="221"/>
      <c r="CR30" s="221"/>
      <c r="CS30" s="221"/>
      <c r="CT30" s="221"/>
      <c r="CU30" s="221"/>
      <c r="CV30" s="221"/>
      <c r="CW30" s="221"/>
      <c r="CX30" s="220"/>
      <c r="CY30" s="221"/>
      <c r="CZ30" s="221"/>
      <c r="DA30" s="221"/>
      <c r="DB30" s="221"/>
      <c r="DC30" s="221"/>
      <c r="DD30" s="221"/>
      <c r="DE30" s="221"/>
      <c r="DF30" s="221"/>
      <c r="DG30" s="221"/>
      <c r="DH30" s="222"/>
      <c r="DI30" s="154">
        <f ca="1">IFERROR(INDEX(AWAKASH!BM$10:BN$40,MATCH(DJ30,AWAKASH!BN$10:BN$40,0),1),0)</f>
        <v>0</v>
      </c>
      <c r="DJ30" s="164">
        <f t="shared" ca="1" si="4"/>
        <v>43725</v>
      </c>
      <c r="DK30" s="165" t="str">
        <f t="shared" ca="1" si="21"/>
        <v>Tue</v>
      </c>
      <c r="DL30" s="166" t="str">
        <f t="shared" ca="1" si="22"/>
        <v>दाल-चावल</v>
      </c>
      <c r="DM30" s="227"/>
      <c r="DN30" s="228"/>
      <c r="DO30" s="229"/>
      <c r="DP30" s="229"/>
      <c r="DQ30" s="229"/>
      <c r="DR30" s="229"/>
      <c r="DS30" s="229"/>
      <c r="DT30" s="229"/>
      <c r="DU30" s="229"/>
      <c r="DV30" s="229"/>
      <c r="DW30" s="228"/>
      <c r="DX30" s="229"/>
      <c r="DY30" s="229"/>
      <c r="DZ30" s="229"/>
      <c r="EA30" s="229"/>
      <c r="EB30" s="229"/>
      <c r="EC30" s="229"/>
      <c r="ED30" s="229"/>
      <c r="EE30" s="229"/>
      <c r="EF30" s="229"/>
      <c r="EG30" s="230"/>
      <c r="EH30" s="154">
        <f ca="1">IFERROR(INDEX(AWAKASH!CA$10:CB$40,MATCH(EI30,AWAKASH!CB$10:CB$40,0),1),0)</f>
        <v>0</v>
      </c>
      <c r="EI30" s="167">
        <f t="shared" ca="1" si="5"/>
        <v>43755</v>
      </c>
      <c r="EJ30" s="168" t="str">
        <f t="shared" ca="1" si="23"/>
        <v>Thu</v>
      </c>
      <c r="EK30" s="169" t="str">
        <f t="shared" ca="1" si="24"/>
        <v>खिचड़ी-सब्जी</v>
      </c>
      <c r="EL30" s="235"/>
      <c r="EM30" s="236"/>
      <c r="EN30" s="237"/>
      <c r="EO30" s="237"/>
      <c r="EP30" s="237"/>
      <c r="EQ30" s="237"/>
      <c r="ER30" s="237"/>
      <c r="ES30" s="237"/>
      <c r="ET30" s="237"/>
      <c r="EU30" s="237"/>
      <c r="EV30" s="236"/>
      <c r="EW30" s="237"/>
      <c r="EX30" s="237"/>
      <c r="EY30" s="237"/>
      <c r="EZ30" s="237"/>
      <c r="FA30" s="237"/>
      <c r="FB30" s="237"/>
      <c r="FC30" s="237"/>
      <c r="FD30" s="237"/>
      <c r="FE30" s="237"/>
      <c r="FF30" s="238"/>
      <c r="FG30" s="46">
        <f ca="1">IFERROR(INDEX(AWAKASH!FC$10:FD$40,MATCH(FH30,AWAKASH!FD$10:FD$40,0),1),0)</f>
        <v>0</v>
      </c>
      <c r="FH30" s="170">
        <f t="shared" ca="1" si="6"/>
        <v>43786</v>
      </c>
      <c r="FI30" s="171" t="str">
        <f t="shared" ca="1" si="25"/>
        <v>Sun</v>
      </c>
      <c r="FJ30" s="172">
        <f t="shared" ca="1" si="26"/>
        <v>0</v>
      </c>
      <c r="FK30" s="195"/>
      <c r="FL30" s="196"/>
      <c r="FM30" s="197"/>
      <c r="FN30" s="197"/>
      <c r="FO30" s="197"/>
      <c r="FP30" s="197"/>
      <c r="FQ30" s="197"/>
      <c r="FR30" s="197"/>
      <c r="FS30" s="197"/>
      <c r="FT30" s="197"/>
      <c r="FU30" s="196"/>
      <c r="FV30" s="197"/>
      <c r="FW30" s="197"/>
      <c r="FX30" s="197"/>
      <c r="FY30" s="197"/>
      <c r="FZ30" s="197"/>
      <c r="GA30" s="197"/>
      <c r="GB30" s="197"/>
      <c r="GC30" s="197"/>
      <c r="GD30" s="197"/>
      <c r="GE30" s="198"/>
      <c r="GF30" s="154">
        <f ca="1">IFERROR(INDEX(AWAKASH!FQ$10:FR$40,MATCH(GG30,AWAKASH!FR$10:FR$40,0),1),0)</f>
        <v>0</v>
      </c>
      <c r="GG30" s="155">
        <f t="shared" ca="1" si="7"/>
        <v>43816</v>
      </c>
      <c r="GH30" s="156" t="str">
        <f t="shared" ca="1" si="27"/>
        <v>Tue</v>
      </c>
      <c r="GI30" s="157" t="str">
        <f t="shared" ca="1" si="28"/>
        <v>दाल-चावल</v>
      </c>
      <c r="GJ30" s="203"/>
      <c r="GK30" s="204"/>
      <c r="GL30" s="205"/>
      <c r="GM30" s="205"/>
      <c r="GN30" s="205"/>
      <c r="GO30" s="205"/>
      <c r="GP30" s="205"/>
      <c r="GQ30" s="205"/>
      <c r="GR30" s="205"/>
      <c r="GS30" s="205"/>
      <c r="GT30" s="204"/>
      <c r="GU30" s="205"/>
      <c r="GV30" s="205"/>
      <c r="GW30" s="205"/>
      <c r="GX30" s="205"/>
      <c r="GY30" s="205"/>
      <c r="GZ30" s="205"/>
      <c r="HA30" s="205"/>
      <c r="HB30" s="205"/>
      <c r="HC30" s="205"/>
      <c r="HD30" s="206"/>
      <c r="HE30" s="154">
        <f ca="1">IFERROR(INDEX(AWAKASH!GE$10:GF$40,MATCH(HF30,AWAKASH!GF$10:GF$40,0),1),0)</f>
        <v>0</v>
      </c>
      <c r="HF30" s="158">
        <f t="shared" ca="1" si="8"/>
        <v>43847</v>
      </c>
      <c r="HG30" s="159" t="str">
        <f t="shared" ca="1" si="29"/>
        <v>Fri</v>
      </c>
      <c r="HH30" s="160" t="str">
        <f t="shared" ca="1" si="30"/>
        <v>दाल-रोटी</v>
      </c>
      <c r="HI30" s="211"/>
      <c r="HJ30" s="212"/>
      <c r="HK30" s="213"/>
      <c r="HL30" s="213"/>
      <c r="HM30" s="213"/>
      <c r="HN30" s="213"/>
      <c r="HO30" s="213"/>
      <c r="HP30" s="213"/>
      <c r="HQ30" s="213"/>
      <c r="HR30" s="213"/>
      <c r="HS30" s="212"/>
      <c r="HT30" s="213"/>
      <c r="HU30" s="213"/>
      <c r="HV30" s="213"/>
      <c r="HW30" s="213"/>
      <c r="HX30" s="213"/>
      <c r="HY30" s="213"/>
      <c r="HZ30" s="213"/>
      <c r="IA30" s="213"/>
      <c r="IB30" s="213"/>
      <c r="IC30" s="214"/>
      <c r="ID30" s="154">
        <f ca="1">IFERROR(INDEX(AWAKASH!GS$10:GT$40,MATCH(IE30,AWAKASH!GT$10:GT$40,0),1),0)</f>
        <v>0</v>
      </c>
      <c r="IE30" s="161">
        <f t="shared" ca="1" si="9"/>
        <v>0</v>
      </c>
      <c r="IF30" s="162" t="str">
        <f t="shared" ca="1" si="31"/>
        <v/>
      </c>
      <c r="IG30" s="163" t="str">
        <f t="shared" ca="1" si="32"/>
        <v/>
      </c>
      <c r="IH30" s="219"/>
      <c r="II30" s="220"/>
      <c r="IJ30" s="221"/>
      <c r="IK30" s="221"/>
      <c r="IL30" s="221"/>
      <c r="IM30" s="221"/>
      <c r="IN30" s="221"/>
      <c r="IO30" s="221"/>
      <c r="IP30" s="221"/>
      <c r="IQ30" s="221"/>
      <c r="IR30" s="220"/>
      <c r="IS30" s="221"/>
      <c r="IT30" s="221"/>
      <c r="IU30" s="221"/>
      <c r="IV30" s="221"/>
      <c r="IW30" s="221"/>
      <c r="IX30" s="221"/>
      <c r="IY30" s="221"/>
      <c r="IZ30" s="221"/>
      <c r="JA30" s="221"/>
      <c r="JB30" s="222"/>
      <c r="JC30" s="154">
        <f ca="1">IFERROR(INDEX(AWAKASH!HG$10:HH$40,MATCH(JD30,AWAKASH!HH$10:HH$40,0),1),0)</f>
        <v>0</v>
      </c>
      <c r="JD30" s="164">
        <f t="shared" ca="1" si="10"/>
        <v>0</v>
      </c>
      <c r="JE30" s="165" t="str">
        <f t="shared" ca="1" si="33"/>
        <v/>
      </c>
      <c r="JF30" s="166" t="str">
        <f t="shared" ca="1" si="34"/>
        <v/>
      </c>
      <c r="JG30" s="227"/>
      <c r="JH30" s="228"/>
      <c r="JI30" s="229"/>
      <c r="JJ30" s="229"/>
      <c r="JK30" s="229"/>
      <c r="JL30" s="229"/>
      <c r="JM30" s="229"/>
      <c r="JN30" s="229"/>
      <c r="JO30" s="229"/>
      <c r="JP30" s="229"/>
      <c r="JQ30" s="228"/>
      <c r="JR30" s="229"/>
      <c r="JS30" s="229"/>
      <c r="JT30" s="229"/>
      <c r="JU30" s="229"/>
      <c r="JV30" s="229"/>
      <c r="JW30" s="229"/>
      <c r="JX30" s="229"/>
      <c r="JY30" s="229"/>
      <c r="JZ30" s="229"/>
      <c r="KA30" s="230"/>
      <c r="KB30" s="154">
        <f ca="1">IFERROR(INDEX(AWAKASH!HU$10:HV$40,MATCH(KC30,AWAKASH!HV$10:HV$40,0),1),0)</f>
        <v>0</v>
      </c>
      <c r="KC30" s="167">
        <f t="shared" ca="1" si="11"/>
        <v>0</v>
      </c>
      <c r="KD30" s="168" t="str">
        <f t="shared" ca="1" si="35"/>
        <v/>
      </c>
      <c r="KE30" s="169" t="str">
        <f t="shared" ca="1" si="36"/>
        <v/>
      </c>
      <c r="KF30" s="235"/>
      <c r="KG30" s="236"/>
      <c r="KH30" s="237"/>
      <c r="KI30" s="237"/>
      <c r="KJ30" s="237"/>
      <c r="KK30" s="237"/>
      <c r="KL30" s="237"/>
      <c r="KM30" s="237"/>
      <c r="KN30" s="237"/>
      <c r="KO30" s="237"/>
      <c r="KP30" s="236"/>
      <c r="KQ30" s="237"/>
      <c r="KR30" s="237"/>
      <c r="KS30" s="237"/>
      <c r="KT30" s="237"/>
      <c r="KU30" s="237"/>
      <c r="KV30" s="237"/>
      <c r="KW30" s="237"/>
      <c r="KX30" s="237"/>
      <c r="KY30" s="237"/>
      <c r="KZ30" s="238"/>
      <c r="LA30" s="46"/>
    </row>
    <row r="31" spans="1:313" ht="20.100000000000001" customHeight="1" x14ac:dyDescent="0.25">
      <c r="A31" s="3">
        <v>18</v>
      </c>
      <c r="D31" s="3">
        <v>6</v>
      </c>
      <c r="E31" s="3" t="s">
        <v>187</v>
      </c>
      <c r="F31" s="3" t="s">
        <v>151</v>
      </c>
      <c r="G31" s="3">
        <v>1</v>
      </c>
      <c r="M31" s="46">
        <f ca="1">IFERROR(INDEX(AWAKASH!I$10:J$40,MATCH(N31,AWAKASH!J$10:J$40,0),1),0)</f>
        <v>0</v>
      </c>
      <c r="N31" s="170">
        <f t="shared" ca="1" si="0"/>
        <v>43603</v>
      </c>
      <c r="O31" s="171" t="str">
        <f t="shared" ca="1" si="13"/>
        <v>Sat</v>
      </c>
      <c r="P31" s="172" t="str">
        <f t="shared" ca="1" si="14"/>
        <v>सब्जी-रोटी</v>
      </c>
      <c r="Q31" s="195"/>
      <c r="R31" s="196"/>
      <c r="S31" s="193"/>
      <c r="T31" s="197"/>
      <c r="U31" s="197"/>
      <c r="V31" s="197"/>
      <c r="W31" s="197"/>
      <c r="X31" s="197"/>
      <c r="Y31" s="197"/>
      <c r="Z31" s="197"/>
      <c r="AA31" s="196"/>
      <c r="AB31" s="197"/>
      <c r="AC31" s="197"/>
      <c r="AD31" s="197"/>
      <c r="AE31" s="197"/>
      <c r="AF31" s="197"/>
      <c r="AG31" s="197"/>
      <c r="AH31" s="197"/>
      <c r="AI31" s="197"/>
      <c r="AJ31" s="197"/>
      <c r="AK31" s="198"/>
      <c r="AL31" s="154">
        <f ca="1">IFERROR(INDEX(AWAKASH!W$10:X$40,MATCH(AM31,AWAKASH!X$10:X$40,0),1),0)</f>
        <v>0</v>
      </c>
      <c r="AM31" s="155">
        <f t="shared" ca="1" si="1"/>
        <v>43634</v>
      </c>
      <c r="AN31" s="156" t="str">
        <f t="shared" ca="1" si="15"/>
        <v>Tue</v>
      </c>
      <c r="AO31" s="157" t="str">
        <f t="shared" ca="1" si="16"/>
        <v>दाल-चावल</v>
      </c>
      <c r="AP31" s="203"/>
      <c r="AQ31" s="204"/>
      <c r="AR31" s="205"/>
      <c r="AS31" s="205"/>
      <c r="AT31" s="205"/>
      <c r="AU31" s="205"/>
      <c r="AV31" s="205"/>
      <c r="AW31" s="205"/>
      <c r="AX31" s="205"/>
      <c r="AY31" s="205"/>
      <c r="AZ31" s="204"/>
      <c r="BA31" s="205"/>
      <c r="BB31" s="205"/>
      <c r="BC31" s="205"/>
      <c r="BD31" s="205"/>
      <c r="BE31" s="205"/>
      <c r="BF31" s="205"/>
      <c r="BG31" s="205"/>
      <c r="BH31" s="205"/>
      <c r="BI31" s="205"/>
      <c r="BJ31" s="206"/>
      <c r="BK31" s="154">
        <f ca="1">IFERROR(INDEX(AWAKASH!AK$10:AL$40,MATCH(BL31,AWAKASH!AL$10:AL$40,0),1),0)</f>
        <v>0</v>
      </c>
      <c r="BL31" s="158">
        <f t="shared" ca="1" si="2"/>
        <v>43664</v>
      </c>
      <c r="BM31" s="159" t="str">
        <f t="shared" ca="1" si="17"/>
        <v>Thu</v>
      </c>
      <c r="BN31" s="160" t="str">
        <f t="shared" ca="1" si="18"/>
        <v>खिचड़ी-सब्जी</v>
      </c>
      <c r="BO31" s="211"/>
      <c r="BP31" s="212"/>
      <c r="BQ31" s="213"/>
      <c r="BR31" s="213"/>
      <c r="BS31" s="213"/>
      <c r="BT31" s="213"/>
      <c r="BU31" s="213"/>
      <c r="BV31" s="213"/>
      <c r="BW31" s="213"/>
      <c r="BX31" s="213"/>
      <c r="BY31" s="212"/>
      <c r="BZ31" s="213"/>
      <c r="CA31" s="213"/>
      <c r="CB31" s="213"/>
      <c r="CC31" s="213"/>
      <c r="CD31" s="213"/>
      <c r="CE31" s="213"/>
      <c r="CF31" s="213"/>
      <c r="CG31" s="213"/>
      <c r="CH31" s="213"/>
      <c r="CI31" s="214"/>
      <c r="CJ31" s="154">
        <f ca="1">IFERROR(INDEX(AWAKASH!AY$10:AZ$40,MATCH(CK31,AWAKASH!AZ$10:AZ$40,0),1),0)</f>
        <v>0</v>
      </c>
      <c r="CK31" s="161">
        <f t="shared" ca="1" si="3"/>
        <v>43695</v>
      </c>
      <c r="CL31" s="162" t="str">
        <f t="shared" ca="1" si="19"/>
        <v>Sun</v>
      </c>
      <c r="CM31" s="163">
        <f t="shared" ca="1" si="20"/>
        <v>0</v>
      </c>
      <c r="CN31" s="219"/>
      <c r="CO31" s="220"/>
      <c r="CP31" s="221"/>
      <c r="CQ31" s="221"/>
      <c r="CR31" s="221"/>
      <c r="CS31" s="221"/>
      <c r="CT31" s="221"/>
      <c r="CU31" s="221"/>
      <c r="CV31" s="221"/>
      <c r="CW31" s="221"/>
      <c r="CX31" s="220"/>
      <c r="CY31" s="221"/>
      <c r="CZ31" s="221"/>
      <c r="DA31" s="221"/>
      <c r="DB31" s="221"/>
      <c r="DC31" s="221"/>
      <c r="DD31" s="221"/>
      <c r="DE31" s="221"/>
      <c r="DF31" s="221"/>
      <c r="DG31" s="221"/>
      <c r="DH31" s="222"/>
      <c r="DI31" s="154">
        <f ca="1">IFERROR(INDEX(AWAKASH!BM$10:BN$40,MATCH(DJ31,AWAKASH!BN$10:BN$40,0),1),0)</f>
        <v>0</v>
      </c>
      <c r="DJ31" s="164">
        <f t="shared" ca="1" si="4"/>
        <v>43726</v>
      </c>
      <c r="DK31" s="165" t="str">
        <f t="shared" ca="1" si="21"/>
        <v>Wed</v>
      </c>
      <c r="DL31" s="166" t="str">
        <f t="shared" ca="1" si="22"/>
        <v>दाल-रोटी</v>
      </c>
      <c r="DM31" s="227"/>
      <c r="DN31" s="228"/>
      <c r="DO31" s="229"/>
      <c r="DP31" s="229"/>
      <c r="DQ31" s="229"/>
      <c r="DR31" s="229"/>
      <c r="DS31" s="229"/>
      <c r="DT31" s="229"/>
      <c r="DU31" s="229"/>
      <c r="DV31" s="229"/>
      <c r="DW31" s="228"/>
      <c r="DX31" s="229"/>
      <c r="DY31" s="229"/>
      <c r="DZ31" s="229"/>
      <c r="EA31" s="229"/>
      <c r="EB31" s="229"/>
      <c r="EC31" s="229"/>
      <c r="ED31" s="229"/>
      <c r="EE31" s="229"/>
      <c r="EF31" s="229"/>
      <c r="EG31" s="230"/>
      <c r="EH31" s="154">
        <f ca="1">IFERROR(INDEX(AWAKASH!CA$10:CB$40,MATCH(EI31,AWAKASH!CB$10:CB$40,0),1),0)</f>
        <v>0</v>
      </c>
      <c r="EI31" s="167">
        <f t="shared" ca="1" si="5"/>
        <v>43756</v>
      </c>
      <c r="EJ31" s="168" t="str">
        <f t="shared" ca="1" si="23"/>
        <v>Fri</v>
      </c>
      <c r="EK31" s="169" t="str">
        <f t="shared" ca="1" si="24"/>
        <v>दाल-रोटी</v>
      </c>
      <c r="EL31" s="235"/>
      <c r="EM31" s="236"/>
      <c r="EN31" s="237"/>
      <c r="EO31" s="237"/>
      <c r="EP31" s="237"/>
      <c r="EQ31" s="237"/>
      <c r="ER31" s="237"/>
      <c r="ES31" s="237"/>
      <c r="ET31" s="237"/>
      <c r="EU31" s="237"/>
      <c r="EV31" s="236"/>
      <c r="EW31" s="237"/>
      <c r="EX31" s="237"/>
      <c r="EY31" s="237"/>
      <c r="EZ31" s="237"/>
      <c r="FA31" s="237"/>
      <c r="FB31" s="237"/>
      <c r="FC31" s="237"/>
      <c r="FD31" s="237"/>
      <c r="FE31" s="237"/>
      <c r="FF31" s="238"/>
      <c r="FG31" s="46">
        <f ca="1">IFERROR(INDEX(AWAKASH!FC$10:FD$40,MATCH(FH31,AWAKASH!FD$10:FD$40,0),1),0)</f>
        <v>0</v>
      </c>
      <c r="FH31" s="170">
        <f t="shared" ca="1" si="6"/>
        <v>43787</v>
      </c>
      <c r="FI31" s="171" t="str">
        <f t="shared" ca="1" si="25"/>
        <v>Mon</v>
      </c>
      <c r="FJ31" s="172" t="str">
        <f t="shared" ca="1" si="26"/>
        <v>सब्जी-रोटी</v>
      </c>
      <c r="FK31" s="195"/>
      <c r="FL31" s="196"/>
      <c r="FM31" s="197"/>
      <c r="FN31" s="197"/>
      <c r="FO31" s="197"/>
      <c r="FP31" s="197"/>
      <c r="FQ31" s="197"/>
      <c r="FR31" s="197"/>
      <c r="FS31" s="197"/>
      <c r="FT31" s="197"/>
      <c r="FU31" s="196"/>
      <c r="FV31" s="197"/>
      <c r="FW31" s="197"/>
      <c r="FX31" s="197"/>
      <c r="FY31" s="197"/>
      <c r="FZ31" s="197"/>
      <c r="GA31" s="197"/>
      <c r="GB31" s="197"/>
      <c r="GC31" s="197"/>
      <c r="GD31" s="197"/>
      <c r="GE31" s="198"/>
      <c r="GF31" s="154">
        <f ca="1">IFERROR(INDEX(AWAKASH!FQ$10:FR$40,MATCH(GG31,AWAKASH!FR$10:FR$40,0),1),0)</f>
        <v>0</v>
      </c>
      <c r="GG31" s="155">
        <f t="shared" ca="1" si="7"/>
        <v>43817</v>
      </c>
      <c r="GH31" s="156" t="str">
        <f t="shared" ca="1" si="27"/>
        <v>Wed</v>
      </c>
      <c r="GI31" s="157" t="str">
        <f t="shared" ca="1" si="28"/>
        <v>दाल-रोटी</v>
      </c>
      <c r="GJ31" s="203"/>
      <c r="GK31" s="204"/>
      <c r="GL31" s="205"/>
      <c r="GM31" s="205"/>
      <c r="GN31" s="205"/>
      <c r="GO31" s="205"/>
      <c r="GP31" s="205"/>
      <c r="GQ31" s="205"/>
      <c r="GR31" s="205"/>
      <c r="GS31" s="205"/>
      <c r="GT31" s="204"/>
      <c r="GU31" s="205"/>
      <c r="GV31" s="205"/>
      <c r="GW31" s="205"/>
      <c r="GX31" s="205"/>
      <c r="GY31" s="205"/>
      <c r="GZ31" s="205"/>
      <c r="HA31" s="205"/>
      <c r="HB31" s="205"/>
      <c r="HC31" s="205"/>
      <c r="HD31" s="206"/>
      <c r="HE31" s="154">
        <f ca="1">IFERROR(INDEX(AWAKASH!GE$10:GF$40,MATCH(HF31,AWAKASH!GF$10:GF$40,0),1),0)</f>
        <v>0</v>
      </c>
      <c r="HF31" s="158">
        <f t="shared" ca="1" si="8"/>
        <v>43848</v>
      </c>
      <c r="HG31" s="159" t="str">
        <f t="shared" ca="1" si="29"/>
        <v>Sat</v>
      </c>
      <c r="HH31" s="160" t="str">
        <f t="shared" ca="1" si="30"/>
        <v>सब्जी-रोटी</v>
      </c>
      <c r="HI31" s="211"/>
      <c r="HJ31" s="212"/>
      <c r="HK31" s="213"/>
      <c r="HL31" s="213"/>
      <c r="HM31" s="213"/>
      <c r="HN31" s="213"/>
      <c r="HO31" s="213"/>
      <c r="HP31" s="213"/>
      <c r="HQ31" s="213"/>
      <c r="HR31" s="213"/>
      <c r="HS31" s="212"/>
      <c r="HT31" s="213"/>
      <c r="HU31" s="213"/>
      <c r="HV31" s="213"/>
      <c r="HW31" s="213"/>
      <c r="HX31" s="213"/>
      <c r="HY31" s="213"/>
      <c r="HZ31" s="213"/>
      <c r="IA31" s="213"/>
      <c r="IB31" s="213"/>
      <c r="IC31" s="214"/>
      <c r="ID31" s="154">
        <f ca="1">IFERROR(INDEX(AWAKASH!GS$10:GT$40,MATCH(IE31,AWAKASH!GT$10:GT$40,0),1),0)</f>
        <v>0</v>
      </c>
      <c r="IE31" s="161">
        <f t="shared" ca="1" si="9"/>
        <v>0</v>
      </c>
      <c r="IF31" s="162" t="str">
        <f t="shared" ca="1" si="31"/>
        <v/>
      </c>
      <c r="IG31" s="163" t="str">
        <f t="shared" ca="1" si="32"/>
        <v/>
      </c>
      <c r="IH31" s="219"/>
      <c r="II31" s="220"/>
      <c r="IJ31" s="221"/>
      <c r="IK31" s="221"/>
      <c r="IL31" s="221"/>
      <c r="IM31" s="221"/>
      <c r="IN31" s="221"/>
      <c r="IO31" s="221"/>
      <c r="IP31" s="221"/>
      <c r="IQ31" s="221"/>
      <c r="IR31" s="220"/>
      <c r="IS31" s="221"/>
      <c r="IT31" s="221"/>
      <c r="IU31" s="221"/>
      <c r="IV31" s="221"/>
      <c r="IW31" s="221"/>
      <c r="IX31" s="221"/>
      <c r="IY31" s="221"/>
      <c r="IZ31" s="221"/>
      <c r="JA31" s="221"/>
      <c r="JB31" s="222"/>
      <c r="JC31" s="154">
        <f ca="1">IFERROR(INDEX(AWAKASH!HG$10:HH$40,MATCH(JD31,AWAKASH!HH$10:HH$40,0),1),0)</f>
        <v>0</v>
      </c>
      <c r="JD31" s="164">
        <f t="shared" ca="1" si="10"/>
        <v>0</v>
      </c>
      <c r="JE31" s="165" t="str">
        <f t="shared" ca="1" si="33"/>
        <v/>
      </c>
      <c r="JF31" s="166" t="str">
        <f t="shared" ca="1" si="34"/>
        <v/>
      </c>
      <c r="JG31" s="227"/>
      <c r="JH31" s="228"/>
      <c r="JI31" s="229"/>
      <c r="JJ31" s="229"/>
      <c r="JK31" s="229"/>
      <c r="JL31" s="229"/>
      <c r="JM31" s="229"/>
      <c r="JN31" s="229"/>
      <c r="JO31" s="229"/>
      <c r="JP31" s="229"/>
      <c r="JQ31" s="228"/>
      <c r="JR31" s="229"/>
      <c r="JS31" s="229"/>
      <c r="JT31" s="229"/>
      <c r="JU31" s="229"/>
      <c r="JV31" s="229"/>
      <c r="JW31" s="229"/>
      <c r="JX31" s="229"/>
      <c r="JY31" s="229"/>
      <c r="JZ31" s="229"/>
      <c r="KA31" s="230"/>
      <c r="KB31" s="154">
        <f ca="1">IFERROR(INDEX(AWAKASH!HU$10:HV$40,MATCH(KC31,AWAKASH!HV$10:HV$40,0),1),0)</f>
        <v>0</v>
      </c>
      <c r="KC31" s="167">
        <f t="shared" ca="1" si="11"/>
        <v>0</v>
      </c>
      <c r="KD31" s="168" t="str">
        <f t="shared" ca="1" si="35"/>
        <v/>
      </c>
      <c r="KE31" s="169" t="str">
        <f t="shared" ca="1" si="36"/>
        <v/>
      </c>
      <c r="KF31" s="235"/>
      <c r="KG31" s="236"/>
      <c r="KH31" s="237"/>
      <c r="KI31" s="237"/>
      <c r="KJ31" s="237"/>
      <c r="KK31" s="237"/>
      <c r="KL31" s="237"/>
      <c r="KM31" s="237"/>
      <c r="KN31" s="237"/>
      <c r="KO31" s="237"/>
      <c r="KP31" s="236"/>
      <c r="KQ31" s="237"/>
      <c r="KR31" s="237"/>
      <c r="KS31" s="237"/>
      <c r="KT31" s="237"/>
      <c r="KU31" s="237"/>
      <c r="KV31" s="237"/>
      <c r="KW31" s="237"/>
      <c r="KX31" s="237"/>
      <c r="KY31" s="237"/>
      <c r="KZ31" s="238"/>
      <c r="LA31" s="46"/>
    </row>
    <row r="32" spans="1:313" ht="20.100000000000001" customHeight="1" x14ac:dyDescent="0.25">
      <c r="A32" s="3">
        <v>19</v>
      </c>
      <c r="D32" s="3">
        <v>7</v>
      </c>
      <c r="E32" s="3" t="s">
        <v>188</v>
      </c>
      <c r="F32" s="3" t="s">
        <v>152</v>
      </c>
      <c r="G32" s="3">
        <v>1</v>
      </c>
      <c r="M32" s="46">
        <f ca="1">IFERROR(INDEX(AWAKASH!I$10:J$40,MATCH(N32,AWAKASH!J$10:J$40,0),1),0)</f>
        <v>0</v>
      </c>
      <c r="N32" s="170">
        <f t="shared" ca="1" si="0"/>
        <v>43604</v>
      </c>
      <c r="O32" s="171" t="str">
        <f t="shared" ca="1" si="13"/>
        <v>Sun</v>
      </c>
      <c r="P32" s="172">
        <f t="shared" ca="1" si="14"/>
        <v>0</v>
      </c>
      <c r="Q32" s="195"/>
      <c r="R32" s="196"/>
      <c r="S32" s="197"/>
      <c r="T32" s="197"/>
      <c r="U32" s="197"/>
      <c r="V32" s="197"/>
      <c r="W32" s="197"/>
      <c r="X32" s="197"/>
      <c r="Y32" s="197"/>
      <c r="Z32" s="197"/>
      <c r="AA32" s="196"/>
      <c r="AB32" s="197"/>
      <c r="AC32" s="197"/>
      <c r="AD32" s="197"/>
      <c r="AE32" s="197"/>
      <c r="AF32" s="197"/>
      <c r="AG32" s="197"/>
      <c r="AH32" s="197"/>
      <c r="AI32" s="197"/>
      <c r="AJ32" s="197"/>
      <c r="AK32" s="198"/>
      <c r="AL32" s="154">
        <f ca="1">IFERROR(INDEX(AWAKASH!W$10:X$40,MATCH(AM32,AWAKASH!X$10:X$40,0),1),0)</f>
        <v>0</v>
      </c>
      <c r="AM32" s="155">
        <f t="shared" ca="1" si="1"/>
        <v>43635</v>
      </c>
      <c r="AN32" s="156" t="str">
        <f t="shared" ca="1" si="15"/>
        <v>Wed</v>
      </c>
      <c r="AO32" s="157" t="str">
        <f t="shared" ca="1" si="16"/>
        <v>दाल-रोटी</v>
      </c>
      <c r="AP32" s="203"/>
      <c r="AQ32" s="204"/>
      <c r="AR32" s="205"/>
      <c r="AS32" s="205"/>
      <c r="AT32" s="205"/>
      <c r="AU32" s="205"/>
      <c r="AV32" s="205"/>
      <c r="AW32" s="205"/>
      <c r="AX32" s="205"/>
      <c r="AY32" s="205"/>
      <c r="AZ32" s="204"/>
      <c r="BA32" s="205"/>
      <c r="BB32" s="205"/>
      <c r="BC32" s="205"/>
      <c r="BD32" s="205"/>
      <c r="BE32" s="205"/>
      <c r="BF32" s="205"/>
      <c r="BG32" s="205"/>
      <c r="BH32" s="205"/>
      <c r="BI32" s="205"/>
      <c r="BJ32" s="206"/>
      <c r="BK32" s="154">
        <f ca="1">IFERROR(INDEX(AWAKASH!AK$10:AL$40,MATCH(BL32,AWAKASH!AL$10:AL$40,0),1),0)</f>
        <v>0</v>
      </c>
      <c r="BL32" s="158">
        <f t="shared" ca="1" si="2"/>
        <v>43665</v>
      </c>
      <c r="BM32" s="159" t="str">
        <f t="shared" ca="1" si="17"/>
        <v>Fri</v>
      </c>
      <c r="BN32" s="160" t="str">
        <f t="shared" ca="1" si="18"/>
        <v>दाल-रोटी</v>
      </c>
      <c r="BO32" s="211"/>
      <c r="BP32" s="212"/>
      <c r="BQ32" s="213"/>
      <c r="BR32" s="213"/>
      <c r="BS32" s="213"/>
      <c r="BT32" s="213"/>
      <c r="BU32" s="213"/>
      <c r="BV32" s="213"/>
      <c r="BW32" s="213"/>
      <c r="BX32" s="213"/>
      <c r="BY32" s="212"/>
      <c r="BZ32" s="213"/>
      <c r="CA32" s="213"/>
      <c r="CB32" s="213"/>
      <c r="CC32" s="213"/>
      <c r="CD32" s="213"/>
      <c r="CE32" s="213"/>
      <c r="CF32" s="213"/>
      <c r="CG32" s="213"/>
      <c r="CH32" s="213"/>
      <c r="CI32" s="214"/>
      <c r="CJ32" s="154">
        <f ca="1">IFERROR(INDEX(AWAKASH!AY$10:AZ$40,MATCH(CK32,AWAKASH!AZ$10:AZ$40,0),1),0)</f>
        <v>0</v>
      </c>
      <c r="CK32" s="161">
        <f t="shared" ca="1" si="3"/>
        <v>43696</v>
      </c>
      <c r="CL32" s="162" t="str">
        <f t="shared" ca="1" si="19"/>
        <v>Mon</v>
      </c>
      <c r="CM32" s="163" t="str">
        <f t="shared" ca="1" si="20"/>
        <v>सब्जी-रोटी</v>
      </c>
      <c r="CN32" s="219"/>
      <c r="CO32" s="220"/>
      <c r="CP32" s="221"/>
      <c r="CQ32" s="221"/>
      <c r="CR32" s="221"/>
      <c r="CS32" s="221"/>
      <c r="CT32" s="221"/>
      <c r="CU32" s="221"/>
      <c r="CV32" s="221"/>
      <c r="CW32" s="221"/>
      <c r="CX32" s="220"/>
      <c r="CY32" s="221"/>
      <c r="CZ32" s="221"/>
      <c r="DA32" s="221"/>
      <c r="DB32" s="221"/>
      <c r="DC32" s="221"/>
      <c r="DD32" s="221"/>
      <c r="DE32" s="221"/>
      <c r="DF32" s="221"/>
      <c r="DG32" s="221"/>
      <c r="DH32" s="222"/>
      <c r="DI32" s="154">
        <f ca="1">IFERROR(INDEX(AWAKASH!BM$10:BN$40,MATCH(DJ32,AWAKASH!BN$10:BN$40,0),1),0)</f>
        <v>0</v>
      </c>
      <c r="DJ32" s="164">
        <f t="shared" ca="1" si="4"/>
        <v>43727</v>
      </c>
      <c r="DK32" s="165" t="str">
        <f t="shared" ca="1" si="21"/>
        <v>Thu</v>
      </c>
      <c r="DL32" s="166" t="str">
        <f t="shared" ca="1" si="22"/>
        <v>खिचड़ी-सब्जी</v>
      </c>
      <c r="DM32" s="227"/>
      <c r="DN32" s="228"/>
      <c r="DO32" s="229"/>
      <c r="DP32" s="229"/>
      <c r="DQ32" s="229"/>
      <c r="DR32" s="229"/>
      <c r="DS32" s="229"/>
      <c r="DT32" s="229"/>
      <c r="DU32" s="229"/>
      <c r="DV32" s="229"/>
      <c r="DW32" s="228"/>
      <c r="DX32" s="229"/>
      <c r="DY32" s="229"/>
      <c r="DZ32" s="229"/>
      <c r="EA32" s="229"/>
      <c r="EB32" s="229"/>
      <c r="EC32" s="229"/>
      <c r="ED32" s="229"/>
      <c r="EE32" s="229"/>
      <c r="EF32" s="229"/>
      <c r="EG32" s="230"/>
      <c r="EH32" s="154">
        <f ca="1">IFERROR(INDEX(AWAKASH!CA$10:CB$40,MATCH(EI32,AWAKASH!CB$10:CB$40,0),1),0)</f>
        <v>0</v>
      </c>
      <c r="EI32" s="167">
        <f t="shared" ca="1" si="5"/>
        <v>43757</v>
      </c>
      <c r="EJ32" s="168" t="str">
        <f t="shared" ca="1" si="23"/>
        <v>Sat</v>
      </c>
      <c r="EK32" s="169" t="str">
        <f t="shared" ca="1" si="24"/>
        <v>सब्जी-रोटी</v>
      </c>
      <c r="EL32" s="235"/>
      <c r="EM32" s="236"/>
      <c r="EN32" s="237"/>
      <c r="EO32" s="237"/>
      <c r="EP32" s="237"/>
      <c r="EQ32" s="237"/>
      <c r="ER32" s="237"/>
      <c r="ES32" s="237"/>
      <c r="ET32" s="237"/>
      <c r="EU32" s="237"/>
      <c r="EV32" s="236"/>
      <c r="EW32" s="237"/>
      <c r="EX32" s="237"/>
      <c r="EY32" s="237"/>
      <c r="EZ32" s="237"/>
      <c r="FA32" s="237"/>
      <c r="FB32" s="237"/>
      <c r="FC32" s="237"/>
      <c r="FD32" s="237"/>
      <c r="FE32" s="237"/>
      <c r="FF32" s="238"/>
      <c r="FG32" s="46">
        <f ca="1">IFERROR(INDEX(AWAKASH!FC$10:FD$40,MATCH(FH32,AWAKASH!FD$10:FD$40,0),1),0)</f>
        <v>0</v>
      </c>
      <c r="FH32" s="170">
        <f t="shared" ca="1" si="6"/>
        <v>43788</v>
      </c>
      <c r="FI32" s="171" t="str">
        <f t="shared" ca="1" si="25"/>
        <v>Tue</v>
      </c>
      <c r="FJ32" s="172" t="str">
        <f t="shared" ca="1" si="26"/>
        <v>दाल-चावल</v>
      </c>
      <c r="FK32" s="195"/>
      <c r="FL32" s="196"/>
      <c r="FM32" s="197"/>
      <c r="FN32" s="197"/>
      <c r="FO32" s="197"/>
      <c r="FP32" s="197"/>
      <c r="FQ32" s="197"/>
      <c r="FR32" s="197"/>
      <c r="FS32" s="197"/>
      <c r="FT32" s="197"/>
      <c r="FU32" s="196"/>
      <c r="FV32" s="197"/>
      <c r="FW32" s="197"/>
      <c r="FX32" s="197"/>
      <c r="FY32" s="197"/>
      <c r="FZ32" s="197"/>
      <c r="GA32" s="197"/>
      <c r="GB32" s="197"/>
      <c r="GC32" s="197"/>
      <c r="GD32" s="197"/>
      <c r="GE32" s="198"/>
      <c r="GF32" s="154">
        <f ca="1">IFERROR(INDEX(AWAKASH!FQ$10:FR$40,MATCH(GG32,AWAKASH!FR$10:FR$40,0),1),0)</f>
        <v>0</v>
      </c>
      <c r="GG32" s="155">
        <f t="shared" ca="1" si="7"/>
        <v>43818</v>
      </c>
      <c r="GH32" s="156" t="str">
        <f t="shared" ca="1" si="27"/>
        <v>Thu</v>
      </c>
      <c r="GI32" s="157" t="str">
        <f t="shared" ca="1" si="28"/>
        <v>खिचड़ी-सब्जी</v>
      </c>
      <c r="GJ32" s="203"/>
      <c r="GK32" s="204"/>
      <c r="GL32" s="205"/>
      <c r="GM32" s="205"/>
      <c r="GN32" s="205"/>
      <c r="GO32" s="205"/>
      <c r="GP32" s="205"/>
      <c r="GQ32" s="205"/>
      <c r="GR32" s="205"/>
      <c r="GS32" s="205"/>
      <c r="GT32" s="204"/>
      <c r="GU32" s="205"/>
      <c r="GV32" s="205"/>
      <c r="GW32" s="205"/>
      <c r="GX32" s="205"/>
      <c r="GY32" s="205"/>
      <c r="GZ32" s="205"/>
      <c r="HA32" s="205"/>
      <c r="HB32" s="205"/>
      <c r="HC32" s="205"/>
      <c r="HD32" s="206"/>
      <c r="HE32" s="154">
        <f ca="1">IFERROR(INDEX(AWAKASH!GE$10:GF$40,MATCH(HF32,AWAKASH!GF$10:GF$40,0),1),0)</f>
        <v>0</v>
      </c>
      <c r="HF32" s="158">
        <f t="shared" ca="1" si="8"/>
        <v>43849</v>
      </c>
      <c r="HG32" s="159" t="str">
        <f t="shared" ca="1" si="29"/>
        <v>Sun</v>
      </c>
      <c r="HH32" s="160">
        <f t="shared" ca="1" si="30"/>
        <v>0</v>
      </c>
      <c r="HI32" s="211"/>
      <c r="HJ32" s="212"/>
      <c r="HK32" s="213"/>
      <c r="HL32" s="213"/>
      <c r="HM32" s="213"/>
      <c r="HN32" s="213"/>
      <c r="HO32" s="213"/>
      <c r="HP32" s="213"/>
      <c r="HQ32" s="213"/>
      <c r="HR32" s="213"/>
      <c r="HS32" s="212"/>
      <c r="HT32" s="213"/>
      <c r="HU32" s="213"/>
      <c r="HV32" s="213"/>
      <c r="HW32" s="213"/>
      <c r="HX32" s="213"/>
      <c r="HY32" s="213"/>
      <c r="HZ32" s="213"/>
      <c r="IA32" s="213"/>
      <c r="IB32" s="213"/>
      <c r="IC32" s="214"/>
      <c r="ID32" s="154">
        <f ca="1">IFERROR(INDEX(AWAKASH!GS$10:GT$40,MATCH(IE32,AWAKASH!GT$10:GT$40,0),1),0)</f>
        <v>0</v>
      </c>
      <c r="IE32" s="161">
        <f t="shared" ca="1" si="9"/>
        <v>0</v>
      </c>
      <c r="IF32" s="162" t="str">
        <f t="shared" ca="1" si="31"/>
        <v/>
      </c>
      <c r="IG32" s="163" t="str">
        <f t="shared" ca="1" si="32"/>
        <v/>
      </c>
      <c r="IH32" s="219"/>
      <c r="II32" s="220"/>
      <c r="IJ32" s="221"/>
      <c r="IK32" s="221"/>
      <c r="IL32" s="221"/>
      <c r="IM32" s="221"/>
      <c r="IN32" s="221"/>
      <c r="IO32" s="221"/>
      <c r="IP32" s="221"/>
      <c r="IQ32" s="221"/>
      <c r="IR32" s="220"/>
      <c r="IS32" s="221"/>
      <c r="IT32" s="221"/>
      <c r="IU32" s="221"/>
      <c r="IV32" s="221"/>
      <c r="IW32" s="221"/>
      <c r="IX32" s="221"/>
      <c r="IY32" s="221"/>
      <c r="IZ32" s="221"/>
      <c r="JA32" s="221"/>
      <c r="JB32" s="222"/>
      <c r="JC32" s="154">
        <f ca="1">IFERROR(INDEX(AWAKASH!HG$10:HH$40,MATCH(JD32,AWAKASH!HH$10:HH$40,0),1),0)</f>
        <v>0</v>
      </c>
      <c r="JD32" s="164">
        <f t="shared" ca="1" si="10"/>
        <v>0</v>
      </c>
      <c r="JE32" s="165" t="str">
        <f t="shared" ca="1" si="33"/>
        <v/>
      </c>
      <c r="JF32" s="166" t="str">
        <f t="shared" ca="1" si="34"/>
        <v/>
      </c>
      <c r="JG32" s="227"/>
      <c r="JH32" s="228"/>
      <c r="JI32" s="229"/>
      <c r="JJ32" s="229"/>
      <c r="JK32" s="229"/>
      <c r="JL32" s="229"/>
      <c r="JM32" s="229"/>
      <c r="JN32" s="229"/>
      <c r="JO32" s="229"/>
      <c r="JP32" s="229"/>
      <c r="JQ32" s="228"/>
      <c r="JR32" s="229"/>
      <c r="JS32" s="229"/>
      <c r="JT32" s="229"/>
      <c r="JU32" s="229"/>
      <c r="JV32" s="229"/>
      <c r="JW32" s="229"/>
      <c r="JX32" s="229"/>
      <c r="JY32" s="229"/>
      <c r="JZ32" s="229"/>
      <c r="KA32" s="230"/>
      <c r="KB32" s="154">
        <f ca="1">IFERROR(INDEX(AWAKASH!HU$10:HV$40,MATCH(KC32,AWAKASH!HV$10:HV$40,0),1),0)</f>
        <v>0</v>
      </c>
      <c r="KC32" s="167">
        <f t="shared" ca="1" si="11"/>
        <v>0</v>
      </c>
      <c r="KD32" s="168" t="str">
        <f t="shared" ca="1" si="35"/>
        <v/>
      </c>
      <c r="KE32" s="169" t="str">
        <f t="shared" ca="1" si="36"/>
        <v/>
      </c>
      <c r="KF32" s="235"/>
      <c r="KG32" s="236"/>
      <c r="KH32" s="237"/>
      <c r="KI32" s="237"/>
      <c r="KJ32" s="237"/>
      <c r="KK32" s="237"/>
      <c r="KL32" s="237"/>
      <c r="KM32" s="237"/>
      <c r="KN32" s="237"/>
      <c r="KO32" s="237"/>
      <c r="KP32" s="236"/>
      <c r="KQ32" s="237"/>
      <c r="KR32" s="237"/>
      <c r="KS32" s="237"/>
      <c r="KT32" s="237"/>
      <c r="KU32" s="237"/>
      <c r="KV32" s="237"/>
      <c r="KW32" s="237"/>
      <c r="KX32" s="237"/>
      <c r="KY32" s="237"/>
      <c r="KZ32" s="238"/>
      <c r="LA32" s="46"/>
    </row>
    <row r="33" spans="1:313" ht="20.100000000000001" customHeight="1" x14ac:dyDescent="0.25">
      <c r="A33" s="3">
        <v>20</v>
      </c>
      <c r="M33" s="46">
        <f ca="1">IFERROR(INDEX(AWAKASH!I$10:J$40,MATCH(N33,AWAKASH!J$10:J$40,0),1),0)</f>
        <v>0</v>
      </c>
      <c r="N33" s="170">
        <f t="shared" ca="1" si="0"/>
        <v>43605</v>
      </c>
      <c r="O33" s="171" t="str">
        <f t="shared" ca="1" si="13"/>
        <v>Mon</v>
      </c>
      <c r="P33" s="172" t="str">
        <f t="shared" ca="1" si="14"/>
        <v>सब्जी-रोटी</v>
      </c>
      <c r="Q33" s="195"/>
      <c r="R33" s="196"/>
      <c r="S33" s="193"/>
      <c r="T33" s="197"/>
      <c r="U33" s="197"/>
      <c r="V33" s="197"/>
      <c r="W33" s="197"/>
      <c r="X33" s="197"/>
      <c r="Y33" s="197"/>
      <c r="Z33" s="197"/>
      <c r="AA33" s="196"/>
      <c r="AB33" s="197"/>
      <c r="AC33" s="197"/>
      <c r="AD33" s="197"/>
      <c r="AE33" s="197"/>
      <c r="AF33" s="197"/>
      <c r="AG33" s="197"/>
      <c r="AH33" s="197"/>
      <c r="AI33" s="197"/>
      <c r="AJ33" s="197"/>
      <c r="AK33" s="198"/>
      <c r="AL33" s="154">
        <f ca="1">IFERROR(INDEX(AWAKASH!W$10:X$40,MATCH(AM33,AWAKASH!X$10:X$40,0),1),0)</f>
        <v>0</v>
      </c>
      <c r="AM33" s="155">
        <f t="shared" ca="1" si="1"/>
        <v>43636</v>
      </c>
      <c r="AN33" s="156" t="str">
        <f t="shared" ca="1" si="15"/>
        <v>Thu</v>
      </c>
      <c r="AO33" s="157" t="str">
        <f t="shared" ca="1" si="16"/>
        <v>खिचड़ी-सब्जी</v>
      </c>
      <c r="AP33" s="203"/>
      <c r="AQ33" s="204"/>
      <c r="AR33" s="205"/>
      <c r="AS33" s="205"/>
      <c r="AT33" s="205"/>
      <c r="AU33" s="205"/>
      <c r="AV33" s="205"/>
      <c r="AW33" s="205"/>
      <c r="AX33" s="205"/>
      <c r="AY33" s="205"/>
      <c r="AZ33" s="204"/>
      <c r="BA33" s="205"/>
      <c r="BB33" s="205"/>
      <c r="BC33" s="205"/>
      <c r="BD33" s="205"/>
      <c r="BE33" s="205"/>
      <c r="BF33" s="205"/>
      <c r="BG33" s="205"/>
      <c r="BH33" s="205"/>
      <c r="BI33" s="205"/>
      <c r="BJ33" s="206"/>
      <c r="BK33" s="154">
        <f ca="1">IFERROR(INDEX(AWAKASH!AK$10:AL$40,MATCH(BL33,AWAKASH!AL$10:AL$40,0),1),0)</f>
        <v>0</v>
      </c>
      <c r="BL33" s="158">
        <f t="shared" ca="1" si="2"/>
        <v>43666</v>
      </c>
      <c r="BM33" s="159" t="str">
        <f t="shared" ca="1" si="17"/>
        <v>Sat</v>
      </c>
      <c r="BN33" s="160" t="str">
        <f t="shared" ca="1" si="18"/>
        <v>सब्जी-रोटी</v>
      </c>
      <c r="BO33" s="211"/>
      <c r="BP33" s="212"/>
      <c r="BQ33" s="213"/>
      <c r="BR33" s="213"/>
      <c r="BS33" s="213"/>
      <c r="BT33" s="213"/>
      <c r="BU33" s="213"/>
      <c r="BV33" s="213"/>
      <c r="BW33" s="213"/>
      <c r="BX33" s="213"/>
      <c r="BY33" s="212"/>
      <c r="BZ33" s="213"/>
      <c r="CA33" s="213"/>
      <c r="CB33" s="213"/>
      <c r="CC33" s="213"/>
      <c r="CD33" s="213"/>
      <c r="CE33" s="213"/>
      <c r="CF33" s="213"/>
      <c r="CG33" s="213"/>
      <c r="CH33" s="213"/>
      <c r="CI33" s="214"/>
      <c r="CJ33" s="154">
        <f ca="1">IFERROR(INDEX(AWAKASH!AY$10:AZ$40,MATCH(CK33,AWAKASH!AZ$10:AZ$40,0),1),0)</f>
        <v>0</v>
      </c>
      <c r="CK33" s="161">
        <f t="shared" ca="1" si="3"/>
        <v>43697</v>
      </c>
      <c r="CL33" s="162" t="str">
        <f t="shared" ca="1" si="19"/>
        <v>Tue</v>
      </c>
      <c r="CM33" s="163" t="str">
        <f t="shared" ca="1" si="20"/>
        <v>दाल-चावल</v>
      </c>
      <c r="CN33" s="219"/>
      <c r="CO33" s="220"/>
      <c r="CP33" s="221"/>
      <c r="CQ33" s="221"/>
      <c r="CR33" s="221"/>
      <c r="CS33" s="221"/>
      <c r="CT33" s="221"/>
      <c r="CU33" s="221"/>
      <c r="CV33" s="221"/>
      <c r="CW33" s="221"/>
      <c r="CX33" s="220"/>
      <c r="CY33" s="221"/>
      <c r="CZ33" s="221"/>
      <c r="DA33" s="221"/>
      <c r="DB33" s="221"/>
      <c r="DC33" s="221"/>
      <c r="DD33" s="221"/>
      <c r="DE33" s="221"/>
      <c r="DF33" s="221"/>
      <c r="DG33" s="221"/>
      <c r="DH33" s="222"/>
      <c r="DI33" s="154">
        <f ca="1">IFERROR(INDEX(AWAKASH!BM$10:BN$40,MATCH(DJ33,AWAKASH!BN$10:BN$40,0),1),0)</f>
        <v>0</v>
      </c>
      <c r="DJ33" s="164">
        <f t="shared" ca="1" si="4"/>
        <v>43728</v>
      </c>
      <c r="DK33" s="165" t="str">
        <f t="shared" ca="1" si="21"/>
        <v>Fri</v>
      </c>
      <c r="DL33" s="166" t="str">
        <f t="shared" ca="1" si="22"/>
        <v>दाल-रोटी</v>
      </c>
      <c r="DM33" s="227"/>
      <c r="DN33" s="228"/>
      <c r="DO33" s="229"/>
      <c r="DP33" s="229"/>
      <c r="DQ33" s="229"/>
      <c r="DR33" s="229"/>
      <c r="DS33" s="229"/>
      <c r="DT33" s="229"/>
      <c r="DU33" s="229"/>
      <c r="DV33" s="229"/>
      <c r="DW33" s="228"/>
      <c r="DX33" s="229"/>
      <c r="DY33" s="229"/>
      <c r="DZ33" s="229"/>
      <c r="EA33" s="229"/>
      <c r="EB33" s="229"/>
      <c r="EC33" s="229"/>
      <c r="ED33" s="229"/>
      <c r="EE33" s="229"/>
      <c r="EF33" s="229"/>
      <c r="EG33" s="230"/>
      <c r="EH33" s="154">
        <f ca="1">IFERROR(INDEX(AWAKASH!CA$10:CB$40,MATCH(EI33,AWAKASH!CB$10:CB$40,0),1),0)</f>
        <v>0</v>
      </c>
      <c r="EI33" s="167">
        <f t="shared" ca="1" si="5"/>
        <v>43758</v>
      </c>
      <c r="EJ33" s="168" t="str">
        <f t="shared" ca="1" si="23"/>
        <v>Sun</v>
      </c>
      <c r="EK33" s="169">
        <f t="shared" ca="1" si="24"/>
        <v>0</v>
      </c>
      <c r="EL33" s="235"/>
      <c r="EM33" s="236"/>
      <c r="EN33" s="237"/>
      <c r="EO33" s="237"/>
      <c r="EP33" s="237"/>
      <c r="EQ33" s="237"/>
      <c r="ER33" s="237"/>
      <c r="ES33" s="237"/>
      <c r="ET33" s="237"/>
      <c r="EU33" s="237"/>
      <c r="EV33" s="236"/>
      <c r="EW33" s="237"/>
      <c r="EX33" s="237"/>
      <c r="EY33" s="237"/>
      <c r="EZ33" s="237"/>
      <c r="FA33" s="237"/>
      <c r="FB33" s="237"/>
      <c r="FC33" s="237"/>
      <c r="FD33" s="237"/>
      <c r="FE33" s="237"/>
      <c r="FF33" s="238"/>
      <c r="FG33" s="46">
        <f ca="1">IFERROR(INDEX(AWAKASH!FC$10:FD$40,MATCH(FH33,AWAKASH!FD$10:FD$40,0),1),0)</f>
        <v>0</v>
      </c>
      <c r="FH33" s="170">
        <f t="shared" ca="1" si="6"/>
        <v>43789</v>
      </c>
      <c r="FI33" s="171" t="str">
        <f t="shared" ca="1" si="25"/>
        <v>Wed</v>
      </c>
      <c r="FJ33" s="172" t="str">
        <f t="shared" ca="1" si="26"/>
        <v>दाल-रोटी</v>
      </c>
      <c r="FK33" s="195"/>
      <c r="FL33" s="196"/>
      <c r="FM33" s="197"/>
      <c r="FN33" s="197"/>
      <c r="FO33" s="197"/>
      <c r="FP33" s="197"/>
      <c r="FQ33" s="197"/>
      <c r="FR33" s="197"/>
      <c r="FS33" s="197"/>
      <c r="FT33" s="197"/>
      <c r="FU33" s="196"/>
      <c r="FV33" s="197"/>
      <c r="FW33" s="197"/>
      <c r="FX33" s="197"/>
      <c r="FY33" s="197"/>
      <c r="FZ33" s="197"/>
      <c r="GA33" s="197"/>
      <c r="GB33" s="197"/>
      <c r="GC33" s="197"/>
      <c r="GD33" s="197"/>
      <c r="GE33" s="198"/>
      <c r="GF33" s="154">
        <f ca="1">IFERROR(INDEX(AWAKASH!FQ$10:FR$40,MATCH(GG33,AWAKASH!FR$10:FR$40,0),1),0)</f>
        <v>0</v>
      </c>
      <c r="GG33" s="155">
        <f t="shared" ca="1" si="7"/>
        <v>43819</v>
      </c>
      <c r="GH33" s="156" t="str">
        <f t="shared" ca="1" si="27"/>
        <v>Fri</v>
      </c>
      <c r="GI33" s="157" t="str">
        <f t="shared" ca="1" si="28"/>
        <v>दाल-रोटी</v>
      </c>
      <c r="GJ33" s="203"/>
      <c r="GK33" s="204"/>
      <c r="GL33" s="205"/>
      <c r="GM33" s="205"/>
      <c r="GN33" s="205"/>
      <c r="GO33" s="205"/>
      <c r="GP33" s="205"/>
      <c r="GQ33" s="205"/>
      <c r="GR33" s="205"/>
      <c r="GS33" s="205"/>
      <c r="GT33" s="204"/>
      <c r="GU33" s="205"/>
      <c r="GV33" s="205"/>
      <c r="GW33" s="205"/>
      <c r="GX33" s="205"/>
      <c r="GY33" s="205"/>
      <c r="GZ33" s="205"/>
      <c r="HA33" s="205"/>
      <c r="HB33" s="205"/>
      <c r="HC33" s="205"/>
      <c r="HD33" s="206"/>
      <c r="HE33" s="154">
        <f ca="1">IFERROR(INDEX(AWAKASH!GE$10:GF$40,MATCH(HF33,AWAKASH!GF$10:GF$40,0),1),0)</f>
        <v>0</v>
      </c>
      <c r="HF33" s="158">
        <f t="shared" ca="1" si="8"/>
        <v>43850</v>
      </c>
      <c r="HG33" s="159" t="str">
        <f t="shared" ca="1" si="29"/>
        <v>Mon</v>
      </c>
      <c r="HH33" s="160" t="str">
        <f t="shared" ca="1" si="30"/>
        <v>सब्जी-रोटी</v>
      </c>
      <c r="HI33" s="211"/>
      <c r="HJ33" s="212"/>
      <c r="HK33" s="213"/>
      <c r="HL33" s="213"/>
      <c r="HM33" s="213"/>
      <c r="HN33" s="213"/>
      <c r="HO33" s="213"/>
      <c r="HP33" s="213"/>
      <c r="HQ33" s="213"/>
      <c r="HR33" s="213"/>
      <c r="HS33" s="212"/>
      <c r="HT33" s="213"/>
      <c r="HU33" s="213"/>
      <c r="HV33" s="213"/>
      <c r="HW33" s="213"/>
      <c r="HX33" s="213"/>
      <c r="HY33" s="213"/>
      <c r="HZ33" s="213"/>
      <c r="IA33" s="213"/>
      <c r="IB33" s="213"/>
      <c r="IC33" s="214"/>
      <c r="ID33" s="154">
        <f ca="1">IFERROR(INDEX(AWAKASH!GS$10:GT$40,MATCH(IE33,AWAKASH!GT$10:GT$40,0),1),0)</f>
        <v>0</v>
      </c>
      <c r="IE33" s="161">
        <f t="shared" ca="1" si="9"/>
        <v>0</v>
      </c>
      <c r="IF33" s="162" t="str">
        <f t="shared" ca="1" si="31"/>
        <v/>
      </c>
      <c r="IG33" s="163" t="str">
        <f t="shared" ca="1" si="32"/>
        <v/>
      </c>
      <c r="IH33" s="219"/>
      <c r="II33" s="220"/>
      <c r="IJ33" s="221"/>
      <c r="IK33" s="221"/>
      <c r="IL33" s="221"/>
      <c r="IM33" s="221"/>
      <c r="IN33" s="221"/>
      <c r="IO33" s="221"/>
      <c r="IP33" s="221"/>
      <c r="IQ33" s="221"/>
      <c r="IR33" s="220"/>
      <c r="IS33" s="221"/>
      <c r="IT33" s="221"/>
      <c r="IU33" s="221"/>
      <c r="IV33" s="221"/>
      <c r="IW33" s="221"/>
      <c r="IX33" s="221"/>
      <c r="IY33" s="221"/>
      <c r="IZ33" s="221"/>
      <c r="JA33" s="221"/>
      <c r="JB33" s="222"/>
      <c r="JC33" s="154">
        <f ca="1">IFERROR(INDEX(AWAKASH!HG$10:HH$40,MATCH(JD33,AWAKASH!HH$10:HH$40,0),1),0)</f>
        <v>0</v>
      </c>
      <c r="JD33" s="164">
        <f t="shared" ca="1" si="10"/>
        <v>0</v>
      </c>
      <c r="JE33" s="165" t="str">
        <f t="shared" ca="1" si="33"/>
        <v/>
      </c>
      <c r="JF33" s="166" t="str">
        <f t="shared" ca="1" si="34"/>
        <v/>
      </c>
      <c r="JG33" s="227"/>
      <c r="JH33" s="228"/>
      <c r="JI33" s="229"/>
      <c r="JJ33" s="229"/>
      <c r="JK33" s="229"/>
      <c r="JL33" s="229"/>
      <c r="JM33" s="229"/>
      <c r="JN33" s="229"/>
      <c r="JO33" s="229"/>
      <c r="JP33" s="229"/>
      <c r="JQ33" s="228"/>
      <c r="JR33" s="229"/>
      <c r="JS33" s="229"/>
      <c r="JT33" s="229"/>
      <c r="JU33" s="229"/>
      <c r="JV33" s="229"/>
      <c r="JW33" s="229"/>
      <c r="JX33" s="229"/>
      <c r="JY33" s="229"/>
      <c r="JZ33" s="229"/>
      <c r="KA33" s="230"/>
      <c r="KB33" s="154">
        <f ca="1">IFERROR(INDEX(AWAKASH!HU$10:HV$40,MATCH(KC33,AWAKASH!HV$10:HV$40,0),1),0)</f>
        <v>0</v>
      </c>
      <c r="KC33" s="167">
        <f t="shared" ca="1" si="11"/>
        <v>0</v>
      </c>
      <c r="KD33" s="168" t="str">
        <f t="shared" ca="1" si="35"/>
        <v/>
      </c>
      <c r="KE33" s="169" t="str">
        <f t="shared" ca="1" si="36"/>
        <v/>
      </c>
      <c r="KF33" s="235"/>
      <c r="KG33" s="236"/>
      <c r="KH33" s="237"/>
      <c r="KI33" s="237"/>
      <c r="KJ33" s="237"/>
      <c r="KK33" s="237"/>
      <c r="KL33" s="237"/>
      <c r="KM33" s="237"/>
      <c r="KN33" s="237"/>
      <c r="KO33" s="237"/>
      <c r="KP33" s="236"/>
      <c r="KQ33" s="237"/>
      <c r="KR33" s="237"/>
      <c r="KS33" s="237"/>
      <c r="KT33" s="237"/>
      <c r="KU33" s="237"/>
      <c r="KV33" s="237"/>
      <c r="KW33" s="237"/>
      <c r="KX33" s="237"/>
      <c r="KY33" s="237"/>
      <c r="KZ33" s="238"/>
      <c r="LA33" s="46"/>
    </row>
    <row r="34" spans="1:313" ht="20.100000000000001" customHeight="1" x14ac:dyDescent="0.25">
      <c r="A34" s="3">
        <v>21</v>
      </c>
      <c r="M34" s="46">
        <f ca="1">IFERROR(INDEX(AWAKASH!I$10:J$40,MATCH(N34,AWAKASH!J$10:J$40,0),1),0)</f>
        <v>0</v>
      </c>
      <c r="N34" s="170">
        <f t="shared" ca="1" si="0"/>
        <v>43606</v>
      </c>
      <c r="O34" s="171" t="str">
        <f t="shared" ca="1" si="13"/>
        <v>Tue</v>
      </c>
      <c r="P34" s="172" t="str">
        <f t="shared" ca="1" si="14"/>
        <v>दाल-चावल</v>
      </c>
      <c r="Q34" s="195"/>
      <c r="R34" s="196"/>
      <c r="S34" s="193"/>
      <c r="T34" s="197"/>
      <c r="U34" s="197"/>
      <c r="V34" s="197"/>
      <c r="W34" s="197"/>
      <c r="X34" s="197"/>
      <c r="Y34" s="197"/>
      <c r="Z34" s="197"/>
      <c r="AA34" s="196"/>
      <c r="AB34" s="197"/>
      <c r="AC34" s="197"/>
      <c r="AD34" s="197"/>
      <c r="AE34" s="197"/>
      <c r="AF34" s="197"/>
      <c r="AG34" s="197"/>
      <c r="AH34" s="197"/>
      <c r="AI34" s="197"/>
      <c r="AJ34" s="197"/>
      <c r="AK34" s="198"/>
      <c r="AL34" s="154">
        <f ca="1">IFERROR(INDEX(AWAKASH!W$10:X$40,MATCH(AM34,AWAKASH!X$10:X$40,0),1),0)</f>
        <v>0</v>
      </c>
      <c r="AM34" s="155">
        <f t="shared" ca="1" si="1"/>
        <v>43637</v>
      </c>
      <c r="AN34" s="156" t="str">
        <f t="shared" ca="1" si="15"/>
        <v>Fri</v>
      </c>
      <c r="AO34" s="157" t="str">
        <f t="shared" ca="1" si="16"/>
        <v>दाल-रोटी</v>
      </c>
      <c r="AP34" s="203"/>
      <c r="AQ34" s="204"/>
      <c r="AR34" s="205"/>
      <c r="AS34" s="205"/>
      <c r="AT34" s="205"/>
      <c r="AU34" s="205"/>
      <c r="AV34" s="205"/>
      <c r="AW34" s="205"/>
      <c r="AX34" s="205"/>
      <c r="AY34" s="205"/>
      <c r="AZ34" s="204"/>
      <c r="BA34" s="205"/>
      <c r="BB34" s="205"/>
      <c r="BC34" s="205"/>
      <c r="BD34" s="205"/>
      <c r="BE34" s="205"/>
      <c r="BF34" s="205"/>
      <c r="BG34" s="205"/>
      <c r="BH34" s="205"/>
      <c r="BI34" s="205"/>
      <c r="BJ34" s="206"/>
      <c r="BK34" s="154">
        <f ca="1">IFERROR(INDEX(AWAKASH!AK$10:AL$40,MATCH(BL34,AWAKASH!AL$10:AL$40,0),1),0)</f>
        <v>0</v>
      </c>
      <c r="BL34" s="158">
        <f t="shared" ca="1" si="2"/>
        <v>43667</v>
      </c>
      <c r="BM34" s="159" t="str">
        <f t="shared" ca="1" si="17"/>
        <v>Sun</v>
      </c>
      <c r="BN34" s="160">
        <f t="shared" ca="1" si="18"/>
        <v>0</v>
      </c>
      <c r="BO34" s="211"/>
      <c r="BP34" s="212"/>
      <c r="BQ34" s="213"/>
      <c r="BR34" s="213"/>
      <c r="BS34" s="213"/>
      <c r="BT34" s="213"/>
      <c r="BU34" s="213"/>
      <c r="BV34" s="213"/>
      <c r="BW34" s="213"/>
      <c r="BX34" s="213"/>
      <c r="BY34" s="212"/>
      <c r="BZ34" s="213"/>
      <c r="CA34" s="213"/>
      <c r="CB34" s="213"/>
      <c r="CC34" s="213"/>
      <c r="CD34" s="213"/>
      <c r="CE34" s="213"/>
      <c r="CF34" s="213"/>
      <c r="CG34" s="213"/>
      <c r="CH34" s="213"/>
      <c r="CI34" s="214"/>
      <c r="CJ34" s="154">
        <f ca="1">IFERROR(INDEX(AWAKASH!AY$10:AZ$40,MATCH(CK34,AWAKASH!AZ$10:AZ$40,0),1),0)</f>
        <v>0</v>
      </c>
      <c r="CK34" s="161">
        <f t="shared" ca="1" si="3"/>
        <v>43698</v>
      </c>
      <c r="CL34" s="162" t="str">
        <f t="shared" ca="1" si="19"/>
        <v>Wed</v>
      </c>
      <c r="CM34" s="163" t="str">
        <f t="shared" ca="1" si="20"/>
        <v>दाल-रोटी</v>
      </c>
      <c r="CN34" s="219"/>
      <c r="CO34" s="220"/>
      <c r="CP34" s="221"/>
      <c r="CQ34" s="221"/>
      <c r="CR34" s="221"/>
      <c r="CS34" s="221"/>
      <c r="CT34" s="221"/>
      <c r="CU34" s="221"/>
      <c r="CV34" s="221"/>
      <c r="CW34" s="221"/>
      <c r="CX34" s="220"/>
      <c r="CY34" s="221"/>
      <c r="CZ34" s="221"/>
      <c r="DA34" s="221"/>
      <c r="DB34" s="221"/>
      <c r="DC34" s="221"/>
      <c r="DD34" s="221"/>
      <c r="DE34" s="221"/>
      <c r="DF34" s="221"/>
      <c r="DG34" s="221"/>
      <c r="DH34" s="222"/>
      <c r="DI34" s="154">
        <f ca="1">IFERROR(INDEX(AWAKASH!BM$10:BN$40,MATCH(DJ34,AWAKASH!BN$10:BN$40,0),1),0)</f>
        <v>0</v>
      </c>
      <c r="DJ34" s="164">
        <f t="shared" ca="1" si="4"/>
        <v>43729</v>
      </c>
      <c r="DK34" s="165" t="str">
        <f t="shared" ca="1" si="21"/>
        <v>Sat</v>
      </c>
      <c r="DL34" s="166" t="str">
        <f t="shared" ca="1" si="22"/>
        <v>सब्जी-रोटी</v>
      </c>
      <c r="DM34" s="227"/>
      <c r="DN34" s="228"/>
      <c r="DO34" s="229"/>
      <c r="DP34" s="229"/>
      <c r="DQ34" s="229"/>
      <c r="DR34" s="229"/>
      <c r="DS34" s="229"/>
      <c r="DT34" s="229"/>
      <c r="DU34" s="229"/>
      <c r="DV34" s="229"/>
      <c r="DW34" s="228"/>
      <c r="DX34" s="229"/>
      <c r="DY34" s="229"/>
      <c r="DZ34" s="229"/>
      <c r="EA34" s="229"/>
      <c r="EB34" s="229"/>
      <c r="EC34" s="229"/>
      <c r="ED34" s="229"/>
      <c r="EE34" s="229"/>
      <c r="EF34" s="229"/>
      <c r="EG34" s="230"/>
      <c r="EH34" s="154">
        <f ca="1">IFERROR(INDEX(AWAKASH!CA$10:CB$40,MATCH(EI34,AWAKASH!CB$10:CB$40,0),1),0)</f>
        <v>0</v>
      </c>
      <c r="EI34" s="167">
        <f t="shared" ca="1" si="5"/>
        <v>43759</v>
      </c>
      <c r="EJ34" s="168" t="str">
        <f t="shared" ca="1" si="23"/>
        <v>Mon</v>
      </c>
      <c r="EK34" s="169" t="str">
        <f t="shared" ca="1" si="24"/>
        <v>सब्जी-रोटी</v>
      </c>
      <c r="EL34" s="235"/>
      <c r="EM34" s="236"/>
      <c r="EN34" s="237"/>
      <c r="EO34" s="237"/>
      <c r="EP34" s="237"/>
      <c r="EQ34" s="237"/>
      <c r="ER34" s="237"/>
      <c r="ES34" s="237"/>
      <c r="ET34" s="237"/>
      <c r="EU34" s="237"/>
      <c r="EV34" s="236"/>
      <c r="EW34" s="237"/>
      <c r="EX34" s="237"/>
      <c r="EY34" s="237"/>
      <c r="EZ34" s="237"/>
      <c r="FA34" s="237"/>
      <c r="FB34" s="237"/>
      <c r="FC34" s="237"/>
      <c r="FD34" s="237"/>
      <c r="FE34" s="237"/>
      <c r="FF34" s="238"/>
      <c r="FG34" s="46">
        <f ca="1">IFERROR(INDEX(AWAKASH!FC$10:FD$40,MATCH(FH34,AWAKASH!FD$10:FD$40,0),1),0)</f>
        <v>0</v>
      </c>
      <c r="FH34" s="170">
        <f t="shared" ca="1" si="6"/>
        <v>43790</v>
      </c>
      <c r="FI34" s="171" t="str">
        <f t="shared" ca="1" si="25"/>
        <v>Thu</v>
      </c>
      <c r="FJ34" s="172" t="str">
        <f t="shared" ca="1" si="26"/>
        <v>खिचड़ी-सब्जी</v>
      </c>
      <c r="FK34" s="195"/>
      <c r="FL34" s="196"/>
      <c r="FM34" s="197"/>
      <c r="FN34" s="197"/>
      <c r="FO34" s="197"/>
      <c r="FP34" s="197"/>
      <c r="FQ34" s="197"/>
      <c r="FR34" s="197"/>
      <c r="FS34" s="197"/>
      <c r="FT34" s="197"/>
      <c r="FU34" s="196"/>
      <c r="FV34" s="197"/>
      <c r="FW34" s="197"/>
      <c r="FX34" s="197"/>
      <c r="FY34" s="197"/>
      <c r="FZ34" s="197"/>
      <c r="GA34" s="197"/>
      <c r="GB34" s="197"/>
      <c r="GC34" s="197"/>
      <c r="GD34" s="197"/>
      <c r="GE34" s="198"/>
      <c r="GF34" s="154">
        <f ca="1">IFERROR(INDEX(AWAKASH!FQ$10:FR$40,MATCH(GG34,AWAKASH!FR$10:FR$40,0),1),0)</f>
        <v>0</v>
      </c>
      <c r="GG34" s="155">
        <f t="shared" ca="1" si="7"/>
        <v>43820</v>
      </c>
      <c r="GH34" s="156" t="str">
        <f t="shared" ca="1" si="27"/>
        <v>Sat</v>
      </c>
      <c r="GI34" s="157" t="str">
        <f t="shared" ca="1" si="28"/>
        <v>सब्जी-रोटी</v>
      </c>
      <c r="GJ34" s="203"/>
      <c r="GK34" s="204"/>
      <c r="GL34" s="205"/>
      <c r="GM34" s="205"/>
      <c r="GN34" s="205"/>
      <c r="GO34" s="205"/>
      <c r="GP34" s="205"/>
      <c r="GQ34" s="205"/>
      <c r="GR34" s="205"/>
      <c r="GS34" s="205"/>
      <c r="GT34" s="204"/>
      <c r="GU34" s="205"/>
      <c r="GV34" s="205"/>
      <c r="GW34" s="205"/>
      <c r="GX34" s="205"/>
      <c r="GY34" s="205"/>
      <c r="GZ34" s="205"/>
      <c r="HA34" s="205"/>
      <c r="HB34" s="205"/>
      <c r="HC34" s="205"/>
      <c r="HD34" s="206"/>
      <c r="HE34" s="154">
        <f ca="1">IFERROR(INDEX(AWAKASH!GE$10:GF$40,MATCH(HF34,AWAKASH!GF$10:GF$40,0),1),0)</f>
        <v>0</v>
      </c>
      <c r="HF34" s="158">
        <f t="shared" ca="1" si="8"/>
        <v>43851</v>
      </c>
      <c r="HG34" s="159" t="str">
        <f t="shared" ca="1" si="29"/>
        <v>Tue</v>
      </c>
      <c r="HH34" s="160" t="str">
        <f t="shared" ca="1" si="30"/>
        <v>दाल-चावल</v>
      </c>
      <c r="HI34" s="211"/>
      <c r="HJ34" s="212"/>
      <c r="HK34" s="213"/>
      <c r="HL34" s="213"/>
      <c r="HM34" s="213"/>
      <c r="HN34" s="213"/>
      <c r="HO34" s="213"/>
      <c r="HP34" s="213"/>
      <c r="HQ34" s="213"/>
      <c r="HR34" s="213"/>
      <c r="HS34" s="212"/>
      <c r="HT34" s="213"/>
      <c r="HU34" s="213"/>
      <c r="HV34" s="213"/>
      <c r="HW34" s="213"/>
      <c r="HX34" s="213"/>
      <c r="HY34" s="213"/>
      <c r="HZ34" s="213"/>
      <c r="IA34" s="213"/>
      <c r="IB34" s="213"/>
      <c r="IC34" s="214"/>
      <c r="ID34" s="154">
        <f ca="1">IFERROR(INDEX(AWAKASH!GS$10:GT$40,MATCH(IE34,AWAKASH!GT$10:GT$40,0),1),0)</f>
        <v>0</v>
      </c>
      <c r="IE34" s="161">
        <f t="shared" ca="1" si="9"/>
        <v>0</v>
      </c>
      <c r="IF34" s="162" t="str">
        <f t="shared" ca="1" si="31"/>
        <v/>
      </c>
      <c r="IG34" s="163" t="str">
        <f t="shared" ca="1" si="32"/>
        <v/>
      </c>
      <c r="IH34" s="219"/>
      <c r="II34" s="220"/>
      <c r="IJ34" s="221"/>
      <c r="IK34" s="221"/>
      <c r="IL34" s="221"/>
      <c r="IM34" s="221"/>
      <c r="IN34" s="221"/>
      <c r="IO34" s="221"/>
      <c r="IP34" s="221"/>
      <c r="IQ34" s="221"/>
      <c r="IR34" s="220"/>
      <c r="IS34" s="221"/>
      <c r="IT34" s="221"/>
      <c r="IU34" s="221"/>
      <c r="IV34" s="221"/>
      <c r="IW34" s="221"/>
      <c r="IX34" s="221"/>
      <c r="IY34" s="221"/>
      <c r="IZ34" s="221"/>
      <c r="JA34" s="221"/>
      <c r="JB34" s="222"/>
      <c r="JC34" s="154">
        <f ca="1">IFERROR(INDEX(AWAKASH!HG$10:HH$40,MATCH(JD34,AWAKASH!HH$10:HH$40,0),1),0)</f>
        <v>0</v>
      </c>
      <c r="JD34" s="164">
        <f t="shared" ca="1" si="10"/>
        <v>0</v>
      </c>
      <c r="JE34" s="165" t="str">
        <f t="shared" ca="1" si="33"/>
        <v/>
      </c>
      <c r="JF34" s="166" t="str">
        <f t="shared" ca="1" si="34"/>
        <v/>
      </c>
      <c r="JG34" s="227"/>
      <c r="JH34" s="228"/>
      <c r="JI34" s="229"/>
      <c r="JJ34" s="229"/>
      <c r="JK34" s="229"/>
      <c r="JL34" s="229"/>
      <c r="JM34" s="229"/>
      <c r="JN34" s="229"/>
      <c r="JO34" s="229"/>
      <c r="JP34" s="229"/>
      <c r="JQ34" s="228"/>
      <c r="JR34" s="229"/>
      <c r="JS34" s="229"/>
      <c r="JT34" s="229"/>
      <c r="JU34" s="229"/>
      <c r="JV34" s="229"/>
      <c r="JW34" s="229"/>
      <c r="JX34" s="229"/>
      <c r="JY34" s="229"/>
      <c r="JZ34" s="229"/>
      <c r="KA34" s="230"/>
      <c r="KB34" s="154">
        <f ca="1">IFERROR(INDEX(AWAKASH!HU$10:HV$40,MATCH(KC34,AWAKASH!HV$10:HV$40,0),1),0)</f>
        <v>0</v>
      </c>
      <c r="KC34" s="167">
        <f t="shared" ca="1" si="11"/>
        <v>0</v>
      </c>
      <c r="KD34" s="168" t="str">
        <f t="shared" ca="1" si="35"/>
        <v/>
      </c>
      <c r="KE34" s="169" t="str">
        <f t="shared" ca="1" si="36"/>
        <v/>
      </c>
      <c r="KF34" s="235"/>
      <c r="KG34" s="236"/>
      <c r="KH34" s="237"/>
      <c r="KI34" s="237"/>
      <c r="KJ34" s="237"/>
      <c r="KK34" s="237"/>
      <c r="KL34" s="237"/>
      <c r="KM34" s="237"/>
      <c r="KN34" s="237"/>
      <c r="KO34" s="237"/>
      <c r="KP34" s="236"/>
      <c r="KQ34" s="237"/>
      <c r="KR34" s="237"/>
      <c r="KS34" s="237"/>
      <c r="KT34" s="237"/>
      <c r="KU34" s="237"/>
      <c r="KV34" s="237"/>
      <c r="KW34" s="237"/>
      <c r="KX34" s="237"/>
      <c r="KY34" s="237"/>
      <c r="KZ34" s="238"/>
      <c r="LA34" s="46"/>
    </row>
    <row r="35" spans="1:313" ht="20.100000000000001" customHeight="1" x14ac:dyDescent="0.25">
      <c r="A35" s="3">
        <v>22</v>
      </c>
      <c r="M35" s="46">
        <f ca="1">IFERROR(INDEX(AWAKASH!I$10:J$40,MATCH(N35,AWAKASH!J$10:J$40,0),1),0)</f>
        <v>0</v>
      </c>
      <c r="N35" s="170">
        <f t="shared" ca="1" si="0"/>
        <v>43607</v>
      </c>
      <c r="O35" s="171" t="str">
        <f t="shared" ca="1" si="13"/>
        <v>Wed</v>
      </c>
      <c r="P35" s="172" t="str">
        <f t="shared" ca="1" si="14"/>
        <v>दाल-रोटी</v>
      </c>
      <c r="Q35" s="195"/>
      <c r="R35" s="196"/>
      <c r="S35" s="193"/>
      <c r="T35" s="197"/>
      <c r="U35" s="197"/>
      <c r="V35" s="197"/>
      <c r="W35" s="197"/>
      <c r="X35" s="197"/>
      <c r="Y35" s="197"/>
      <c r="Z35" s="197"/>
      <c r="AA35" s="196"/>
      <c r="AB35" s="197"/>
      <c r="AC35" s="197"/>
      <c r="AD35" s="197"/>
      <c r="AE35" s="197"/>
      <c r="AF35" s="197"/>
      <c r="AG35" s="197"/>
      <c r="AH35" s="197"/>
      <c r="AI35" s="197"/>
      <c r="AJ35" s="197"/>
      <c r="AK35" s="198"/>
      <c r="AL35" s="154">
        <f ca="1">IFERROR(INDEX(AWAKASH!W$10:X$40,MATCH(AM35,AWAKASH!X$10:X$40,0),1),0)</f>
        <v>0</v>
      </c>
      <c r="AM35" s="155">
        <f t="shared" ca="1" si="1"/>
        <v>43638</v>
      </c>
      <c r="AN35" s="156" t="str">
        <f t="shared" ca="1" si="15"/>
        <v>Sat</v>
      </c>
      <c r="AO35" s="157" t="str">
        <f t="shared" ca="1" si="16"/>
        <v>सब्जी-रोटी</v>
      </c>
      <c r="AP35" s="203"/>
      <c r="AQ35" s="204"/>
      <c r="AR35" s="205"/>
      <c r="AS35" s="205"/>
      <c r="AT35" s="205"/>
      <c r="AU35" s="205"/>
      <c r="AV35" s="205"/>
      <c r="AW35" s="205"/>
      <c r="AX35" s="205"/>
      <c r="AY35" s="205"/>
      <c r="AZ35" s="204"/>
      <c r="BA35" s="205"/>
      <c r="BB35" s="205"/>
      <c r="BC35" s="205"/>
      <c r="BD35" s="205"/>
      <c r="BE35" s="205"/>
      <c r="BF35" s="205"/>
      <c r="BG35" s="205"/>
      <c r="BH35" s="205"/>
      <c r="BI35" s="205"/>
      <c r="BJ35" s="206"/>
      <c r="BK35" s="154">
        <f ca="1">IFERROR(INDEX(AWAKASH!AK$10:AL$40,MATCH(BL35,AWAKASH!AL$10:AL$40,0),1),0)</f>
        <v>0</v>
      </c>
      <c r="BL35" s="158">
        <f t="shared" ca="1" si="2"/>
        <v>43668</v>
      </c>
      <c r="BM35" s="159" t="str">
        <f t="shared" ca="1" si="17"/>
        <v>Mon</v>
      </c>
      <c r="BN35" s="160" t="str">
        <f t="shared" ca="1" si="18"/>
        <v>सब्जी-रोटी</v>
      </c>
      <c r="BO35" s="211"/>
      <c r="BP35" s="212"/>
      <c r="BQ35" s="213"/>
      <c r="BR35" s="213"/>
      <c r="BS35" s="213"/>
      <c r="BT35" s="213"/>
      <c r="BU35" s="213"/>
      <c r="BV35" s="213"/>
      <c r="BW35" s="213"/>
      <c r="BX35" s="213"/>
      <c r="BY35" s="212"/>
      <c r="BZ35" s="213"/>
      <c r="CA35" s="213"/>
      <c r="CB35" s="213"/>
      <c r="CC35" s="213"/>
      <c r="CD35" s="213"/>
      <c r="CE35" s="213"/>
      <c r="CF35" s="213"/>
      <c r="CG35" s="213"/>
      <c r="CH35" s="213"/>
      <c r="CI35" s="214"/>
      <c r="CJ35" s="154">
        <f ca="1">IFERROR(INDEX(AWAKASH!AY$10:AZ$40,MATCH(CK35,AWAKASH!AZ$10:AZ$40,0),1),0)</f>
        <v>0</v>
      </c>
      <c r="CK35" s="161">
        <f t="shared" ca="1" si="3"/>
        <v>43699</v>
      </c>
      <c r="CL35" s="162" t="str">
        <f t="shared" ca="1" si="19"/>
        <v>Thu</v>
      </c>
      <c r="CM35" s="163" t="str">
        <f t="shared" ca="1" si="20"/>
        <v>खिचड़ी-सब्जी</v>
      </c>
      <c r="CN35" s="219"/>
      <c r="CO35" s="220"/>
      <c r="CP35" s="221"/>
      <c r="CQ35" s="221"/>
      <c r="CR35" s="221"/>
      <c r="CS35" s="221"/>
      <c r="CT35" s="221"/>
      <c r="CU35" s="221"/>
      <c r="CV35" s="221"/>
      <c r="CW35" s="221"/>
      <c r="CX35" s="220"/>
      <c r="CY35" s="221"/>
      <c r="CZ35" s="221"/>
      <c r="DA35" s="221"/>
      <c r="DB35" s="221"/>
      <c r="DC35" s="221"/>
      <c r="DD35" s="221"/>
      <c r="DE35" s="221"/>
      <c r="DF35" s="221"/>
      <c r="DG35" s="221"/>
      <c r="DH35" s="222"/>
      <c r="DI35" s="154">
        <f ca="1">IFERROR(INDEX(AWAKASH!BM$10:BN$40,MATCH(DJ35,AWAKASH!BN$10:BN$40,0),1),0)</f>
        <v>0</v>
      </c>
      <c r="DJ35" s="164">
        <f t="shared" ca="1" si="4"/>
        <v>43730</v>
      </c>
      <c r="DK35" s="165" t="str">
        <f t="shared" ca="1" si="21"/>
        <v>Sun</v>
      </c>
      <c r="DL35" s="166">
        <f t="shared" ca="1" si="22"/>
        <v>0</v>
      </c>
      <c r="DM35" s="227"/>
      <c r="DN35" s="228"/>
      <c r="DO35" s="229"/>
      <c r="DP35" s="229"/>
      <c r="DQ35" s="229"/>
      <c r="DR35" s="229"/>
      <c r="DS35" s="229"/>
      <c r="DT35" s="229"/>
      <c r="DU35" s="229"/>
      <c r="DV35" s="229"/>
      <c r="DW35" s="228"/>
      <c r="DX35" s="229"/>
      <c r="DY35" s="229"/>
      <c r="DZ35" s="229"/>
      <c r="EA35" s="229"/>
      <c r="EB35" s="229"/>
      <c r="EC35" s="229"/>
      <c r="ED35" s="229"/>
      <c r="EE35" s="229"/>
      <c r="EF35" s="229"/>
      <c r="EG35" s="230"/>
      <c r="EH35" s="154">
        <f ca="1">IFERROR(INDEX(AWAKASH!CA$10:CB$40,MATCH(EI35,AWAKASH!CB$10:CB$40,0),1),0)</f>
        <v>0</v>
      </c>
      <c r="EI35" s="167">
        <f t="shared" ca="1" si="5"/>
        <v>43760</v>
      </c>
      <c r="EJ35" s="168" t="str">
        <f t="shared" ca="1" si="23"/>
        <v>Tue</v>
      </c>
      <c r="EK35" s="169" t="str">
        <f t="shared" ca="1" si="24"/>
        <v>दाल-चावल</v>
      </c>
      <c r="EL35" s="235"/>
      <c r="EM35" s="236"/>
      <c r="EN35" s="237"/>
      <c r="EO35" s="237"/>
      <c r="EP35" s="237"/>
      <c r="EQ35" s="237"/>
      <c r="ER35" s="237"/>
      <c r="ES35" s="237"/>
      <c r="ET35" s="237"/>
      <c r="EU35" s="237"/>
      <c r="EV35" s="236"/>
      <c r="EW35" s="237"/>
      <c r="EX35" s="237"/>
      <c r="EY35" s="237"/>
      <c r="EZ35" s="237"/>
      <c r="FA35" s="237"/>
      <c r="FB35" s="237"/>
      <c r="FC35" s="237"/>
      <c r="FD35" s="237"/>
      <c r="FE35" s="237"/>
      <c r="FF35" s="238"/>
      <c r="FG35" s="46">
        <f ca="1">IFERROR(INDEX(AWAKASH!FC$10:FD$40,MATCH(FH35,AWAKASH!FD$10:FD$40,0),1),0)</f>
        <v>0</v>
      </c>
      <c r="FH35" s="170">
        <f t="shared" ca="1" si="6"/>
        <v>43791</v>
      </c>
      <c r="FI35" s="171" t="str">
        <f t="shared" ca="1" si="25"/>
        <v>Fri</v>
      </c>
      <c r="FJ35" s="172" t="str">
        <f t="shared" ca="1" si="26"/>
        <v>दाल-रोटी</v>
      </c>
      <c r="FK35" s="195"/>
      <c r="FL35" s="196"/>
      <c r="FM35" s="197"/>
      <c r="FN35" s="197"/>
      <c r="FO35" s="197"/>
      <c r="FP35" s="197"/>
      <c r="FQ35" s="197"/>
      <c r="FR35" s="197"/>
      <c r="FS35" s="197"/>
      <c r="FT35" s="197"/>
      <c r="FU35" s="196"/>
      <c r="FV35" s="197"/>
      <c r="FW35" s="197"/>
      <c r="FX35" s="197"/>
      <c r="FY35" s="197"/>
      <c r="FZ35" s="197"/>
      <c r="GA35" s="197"/>
      <c r="GB35" s="197"/>
      <c r="GC35" s="197"/>
      <c r="GD35" s="197"/>
      <c r="GE35" s="198"/>
      <c r="GF35" s="154">
        <f ca="1">IFERROR(INDEX(AWAKASH!FQ$10:FR$40,MATCH(GG35,AWAKASH!FR$10:FR$40,0),1),0)</f>
        <v>0</v>
      </c>
      <c r="GG35" s="155">
        <f t="shared" ca="1" si="7"/>
        <v>43821</v>
      </c>
      <c r="GH35" s="156" t="str">
        <f t="shared" ca="1" si="27"/>
        <v>Sun</v>
      </c>
      <c r="GI35" s="157">
        <f t="shared" ca="1" si="28"/>
        <v>0</v>
      </c>
      <c r="GJ35" s="203"/>
      <c r="GK35" s="204"/>
      <c r="GL35" s="205"/>
      <c r="GM35" s="205"/>
      <c r="GN35" s="205"/>
      <c r="GO35" s="205"/>
      <c r="GP35" s="205"/>
      <c r="GQ35" s="205"/>
      <c r="GR35" s="205"/>
      <c r="GS35" s="205"/>
      <c r="GT35" s="204"/>
      <c r="GU35" s="205"/>
      <c r="GV35" s="205"/>
      <c r="GW35" s="205"/>
      <c r="GX35" s="205"/>
      <c r="GY35" s="205"/>
      <c r="GZ35" s="205"/>
      <c r="HA35" s="205"/>
      <c r="HB35" s="205"/>
      <c r="HC35" s="205"/>
      <c r="HD35" s="206"/>
      <c r="HE35" s="154">
        <f ca="1">IFERROR(INDEX(AWAKASH!GE$10:GF$40,MATCH(HF35,AWAKASH!GF$10:GF$40,0),1),0)</f>
        <v>0</v>
      </c>
      <c r="HF35" s="158">
        <f t="shared" ca="1" si="8"/>
        <v>43852</v>
      </c>
      <c r="HG35" s="159" t="str">
        <f t="shared" ca="1" si="29"/>
        <v>Wed</v>
      </c>
      <c r="HH35" s="160" t="str">
        <f t="shared" ca="1" si="30"/>
        <v>दाल-रोटी</v>
      </c>
      <c r="HI35" s="211"/>
      <c r="HJ35" s="212"/>
      <c r="HK35" s="213"/>
      <c r="HL35" s="213"/>
      <c r="HM35" s="213"/>
      <c r="HN35" s="213"/>
      <c r="HO35" s="213"/>
      <c r="HP35" s="213"/>
      <c r="HQ35" s="213"/>
      <c r="HR35" s="213"/>
      <c r="HS35" s="212"/>
      <c r="HT35" s="213"/>
      <c r="HU35" s="213"/>
      <c r="HV35" s="213"/>
      <c r="HW35" s="213"/>
      <c r="HX35" s="213"/>
      <c r="HY35" s="213"/>
      <c r="HZ35" s="213"/>
      <c r="IA35" s="213"/>
      <c r="IB35" s="213"/>
      <c r="IC35" s="214"/>
      <c r="ID35" s="154">
        <f ca="1">IFERROR(INDEX(AWAKASH!GS$10:GT$40,MATCH(IE35,AWAKASH!GT$10:GT$40,0),1),0)</f>
        <v>0</v>
      </c>
      <c r="IE35" s="161">
        <f t="shared" ca="1" si="9"/>
        <v>0</v>
      </c>
      <c r="IF35" s="162" t="str">
        <f t="shared" ca="1" si="31"/>
        <v/>
      </c>
      <c r="IG35" s="163" t="str">
        <f t="shared" ca="1" si="32"/>
        <v/>
      </c>
      <c r="IH35" s="219"/>
      <c r="II35" s="220"/>
      <c r="IJ35" s="221"/>
      <c r="IK35" s="221"/>
      <c r="IL35" s="221"/>
      <c r="IM35" s="221"/>
      <c r="IN35" s="221"/>
      <c r="IO35" s="221"/>
      <c r="IP35" s="221"/>
      <c r="IQ35" s="221"/>
      <c r="IR35" s="220"/>
      <c r="IS35" s="221"/>
      <c r="IT35" s="221"/>
      <c r="IU35" s="221"/>
      <c r="IV35" s="221"/>
      <c r="IW35" s="221"/>
      <c r="IX35" s="221"/>
      <c r="IY35" s="221"/>
      <c r="IZ35" s="221"/>
      <c r="JA35" s="221"/>
      <c r="JB35" s="222"/>
      <c r="JC35" s="154">
        <f ca="1">IFERROR(INDEX(AWAKASH!HG$10:HH$40,MATCH(JD35,AWAKASH!HH$10:HH$40,0),1),0)</f>
        <v>0</v>
      </c>
      <c r="JD35" s="164">
        <f t="shared" ca="1" si="10"/>
        <v>0</v>
      </c>
      <c r="JE35" s="165" t="str">
        <f t="shared" ca="1" si="33"/>
        <v/>
      </c>
      <c r="JF35" s="166" t="str">
        <f t="shared" ca="1" si="34"/>
        <v/>
      </c>
      <c r="JG35" s="227"/>
      <c r="JH35" s="228"/>
      <c r="JI35" s="229"/>
      <c r="JJ35" s="229"/>
      <c r="JK35" s="229"/>
      <c r="JL35" s="229"/>
      <c r="JM35" s="229"/>
      <c r="JN35" s="229"/>
      <c r="JO35" s="229"/>
      <c r="JP35" s="229"/>
      <c r="JQ35" s="228"/>
      <c r="JR35" s="229"/>
      <c r="JS35" s="229"/>
      <c r="JT35" s="229"/>
      <c r="JU35" s="229"/>
      <c r="JV35" s="229"/>
      <c r="JW35" s="229"/>
      <c r="JX35" s="229"/>
      <c r="JY35" s="229"/>
      <c r="JZ35" s="229"/>
      <c r="KA35" s="230"/>
      <c r="KB35" s="154">
        <f ca="1">IFERROR(INDEX(AWAKASH!HU$10:HV$40,MATCH(KC35,AWAKASH!HV$10:HV$40,0),1),0)</f>
        <v>0</v>
      </c>
      <c r="KC35" s="167">
        <f t="shared" ca="1" si="11"/>
        <v>0</v>
      </c>
      <c r="KD35" s="168" t="str">
        <f t="shared" ca="1" si="35"/>
        <v/>
      </c>
      <c r="KE35" s="169" t="str">
        <f t="shared" ca="1" si="36"/>
        <v/>
      </c>
      <c r="KF35" s="235"/>
      <c r="KG35" s="236"/>
      <c r="KH35" s="237"/>
      <c r="KI35" s="237"/>
      <c r="KJ35" s="237"/>
      <c r="KK35" s="237"/>
      <c r="KL35" s="237"/>
      <c r="KM35" s="237"/>
      <c r="KN35" s="237"/>
      <c r="KO35" s="237"/>
      <c r="KP35" s="236"/>
      <c r="KQ35" s="237"/>
      <c r="KR35" s="237"/>
      <c r="KS35" s="237"/>
      <c r="KT35" s="237"/>
      <c r="KU35" s="237"/>
      <c r="KV35" s="237"/>
      <c r="KW35" s="237"/>
      <c r="KX35" s="237"/>
      <c r="KY35" s="237"/>
      <c r="KZ35" s="238"/>
      <c r="LA35" s="46"/>
    </row>
    <row r="36" spans="1:313" ht="20.100000000000001" customHeight="1" x14ac:dyDescent="0.25">
      <c r="A36" s="3">
        <v>23</v>
      </c>
      <c r="M36" s="46">
        <f ca="1">IFERROR(INDEX(AWAKASH!I$10:J$40,MATCH(N36,AWAKASH!J$10:J$40,0),1),0)</f>
        <v>0</v>
      </c>
      <c r="N36" s="170">
        <f t="shared" ca="1" si="0"/>
        <v>43608</v>
      </c>
      <c r="O36" s="171" t="str">
        <f t="shared" ca="1" si="13"/>
        <v>Thu</v>
      </c>
      <c r="P36" s="172" t="str">
        <f t="shared" ca="1" si="14"/>
        <v>खिचड़ी-सब्जी</v>
      </c>
      <c r="Q36" s="195"/>
      <c r="R36" s="196"/>
      <c r="S36" s="193"/>
      <c r="T36" s="197"/>
      <c r="U36" s="197"/>
      <c r="V36" s="197"/>
      <c r="W36" s="197"/>
      <c r="X36" s="197"/>
      <c r="Y36" s="197"/>
      <c r="Z36" s="197"/>
      <c r="AA36" s="196"/>
      <c r="AB36" s="197"/>
      <c r="AC36" s="197"/>
      <c r="AD36" s="197"/>
      <c r="AE36" s="197"/>
      <c r="AF36" s="197"/>
      <c r="AG36" s="197"/>
      <c r="AH36" s="197"/>
      <c r="AI36" s="197"/>
      <c r="AJ36" s="197"/>
      <c r="AK36" s="198"/>
      <c r="AL36" s="154">
        <f ca="1">IFERROR(INDEX(AWAKASH!W$10:X$40,MATCH(AM36,AWAKASH!X$10:X$40,0),1),0)</f>
        <v>0</v>
      </c>
      <c r="AM36" s="155">
        <f t="shared" ca="1" si="1"/>
        <v>43639</v>
      </c>
      <c r="AN36" s="156" t="str">
        <f t="shared" ca="1" si="15"/>
        <v>Sun</v>
      </c>
      <c r="AO36" s="157">
        <f t="shared" ca="1" si="16"/>
        <v>0</v>
      </c>
      <c r="AP36" s="203"/>
      <c r="AQ36" s="204"/>
      <c r="AR36" s="205"/>
      <c r="AS36" s="205"/>
      <c r="AT36" s="205"/>
      <c r="AU36" s="205"/>
      <c r="AV36" s="205"/>
      <c r="AW36" s="205"/>
      <c r="AX36" s="205"/>
      <c r="AY36" s="205"/>
      <c r="AZ36" s="204"/>
      <c r="BA36" s="205"/>
      <c r="BB36" s="205"/>
      <c r="BC36" s="205"/>
      <c r="BD36" s="205"/>
      <c r="BE36" s="205"/>
      <c r="BF36" s="205"/>
      <c r="BG36" s="205"/>
      <c r="BH36" s="205"/>
      <c r="BI36" s="205"/>
      <c r="BJ36" s="206"/>
      <c r="BK36" s="154">
        <f ca="1">IFERROR(INDEX(AWAKASH!AK$10:AL$40,MATCH(BL36,AWAKASH!AL$10:AL$40,0),1),0)</f>
        <v>0</v>
      </c>
      <c r="BL36" s="158">
        <f t="shared" ca="1" si="2"/>
        <v>43669</v>
      </c>
      <c r="BM36" s="159" t="str">
        <f t="shared" ca="1" si="17"/>
        <v>Tue</v>
      </c>
      <c r="BN36" s="160" t="str">
        <f t="shared" ca="1" si="18"/>
        <v>दाल-चावल</v>
      </c>
      <c r="BO36" s="211"/>
      <c r="BP36" s="212"/>
      <c r="BQ36" s="213"/>
      <c r="BR36" s="213"/>
      <c r="BS36" s="213"/>
      <c r="BT36" s="213"/>
      <c r="BU36" s="213"/>
      <c r="BV36" s="213"/>
      <c r="BW36" s="213"/>
      <c r="BX36" s="213"/>
      <c r="BY36" s="212"/>
      <c r="BZ36" s="213"/>
      <c r="CA36" s="213"/>
      <c r="CB36" s="213"/>
      <c r="CC36" s="213"/>
      <c r="CD36" s="213"/>
      <c r="CE36" s="213"/>
      <c r="CF36" s="213"/>
      <c r="CG36" s="213"/>
      <c r="CH36" s="213"/>
      <c r="CI36" s="214"/>
      <c r="CJ36" s="154">
        <f ca="1">IFERROR(INDEX(AWAKASH!AY$10:AZ$40,MATCH(CK36,AWAKASH!AZ$10:AZ$40,0),1),0)</f>
        <v>0</v>
      </c>
      <c r="CK36" s="161">
        <f t="shared" ca="1" si="3"/>
        <v>43700</v>
      </c>
      <c r="CL36" s="162" t="str">
        <f t="shared" ca="1" si="19"/>
        <v>Fri</v>
      </c>
      <c r="CM36" s="163" t="str">
        <f t="shared" ca="1" si="20"/>
        <v>दाल-रोटी</v>
      </c>
      <c r="CN36" s="219"/>
      <c r="CO36" s="220"/>
      <c r="CP36" s="221"/>
      <c r="CQ36" s="221"/>
      <c r="CR36" s="221"/>
      <c r="CS36" s="221"/>
      <c r="CT36" s="221"/>
      <c r="CU36" s="221"/>
      <c r="CV36" s="221"/>
      <c r="CW36" s="221"/>
      <c r="CX36" s="220"/>
      <c r="CY36" s="221"/>
      <c r="CZ36" s="221"/>
      <c r="DA36" s="221"/>
      <c r="DB36" s="221"/>
      <c r="DC36" s="221"/>
      <c r="DD36" s="221"/>
      <c r="DE36" s="221"/>
      <c r="DF36" s="221"/>
      <c r="DG36" s="221"/>
      <c r="DH36" s="222"/>
      <c r="DI36" s="154">
        <f ca="1">IFERROR(INDEX(AWAKASH!BM$10:BN$40,MATCH(DJ36,AWAKASH!BN$10:BN$40,0),1),0)</f>
        <v>0</v>
      </c>
      <c r="DJ36" s="164">
        <f t="shared" ca="1" si="4"/>
        <v>43731</v>
      </c>
      <c r="DK36" s="165" t="str">
        <f t="shared" ca="1" si="21"/>
        <v>Mon</v>
      </c>
      <c r="DL36" s="166" t="str">
        <f t="shared" ca="1" si="22"/>
        <v>सब्जी-रोटी</v>
      </c>
      <c r="DM36" s="227"/>
      <c r="DN36" s="228"/>
      <c r="DO36" s="229"/>
      <c r="DP36" s="229"/>
      <c r="DQ36" s="229"/>
      <c r="DR36" s="229"/>
      <c r="DS36" s="229"/>
      <c r="DT36" s="229"/>
      <c r="DU36" s="229"/>
      <c r="DV36" s="229"/>
      <c r="DW36" s="228"/>
      <c r="DX36" s="229"/>
      <c r="DY36" s="229"/>
      <c r="DZ36" s="229"/>
      <c r="EA36" s="229"/>
      <c r="EB36" s="229"/>
      <c r="EC36" s="229"/>
      <c r="ED36" s="229"/>
      <c r="EE36" s="229"/>
      <c r="EF36" s="229"/>
      <c r="EG36" s="230"/>
      <c r="EH36" s="154">
        <f ca="1">IFERROR(INDEX(AWAKASH!CA$10:CB$40,MATCH(EI36,AWAKASH!CB$10:CB$40,0),1),0)</f>
        <v>0</v>
      </c>
      <c r="EI36" s="167">
        <f t="shared" ca="1" si="5"/>
        <v>43761</v>
      </c>
      <c r="EJ36" s="168" t="str">
        <f t="shared" ca="1" si="23"/>
        <v>Wed</v>
      </c>
      <c r="EK36" s="169" t="str">
        <f t="shared" ca="1" si="24"/>
        <v>दाल-रोटी</v>
      </c>
      <c r="EL36" s="235"/>
      <c r="EM36" s="236"/>
      <c r="EN36" s="237"/>
      <c r="EO36" s="237"/>
      <c r="EP36" s="237"/>
      <c r="EQ36" s="237"/>
      <c r="ER36" s="237"/>
      <c r="ES36" s="237"/>
      <c r="ET36" s="237"/>
      <c r="EU36" s="237"/>
      <c r="EV36" s="236"/>
      <c r="EW36" s="237"/>
      <c r="EX36" s="237"/>
      <c r="EY36" s="237"/>
      <c r="EZ36" s="237"/>
      <c r="FA36" s="237"/>
      <c r="FB36" s="237"/>
      <c r="FC36" s="237"/>
      <c r="FD36" s="237"/>
      <c r="FE36" s="237"/>
      <c r="FF36" s="238"/>
      <c r="FG36" s="46">
        <f ca="1">IFERROR(INDEX(AWAKASH!FC$10:FD$40,MATCH(FH36,AWAKASH!FD$10:FD$40,0),1),0)</f>
        <v>0</v>
      </c>
      <c r="FH36" s="170">
        <f t="shared" ca="1" si="6"/>
        <v>43792</v>
      </c>
      <c r="FI36" s="171" t="str">
        <f t="shared" ca="1" si="25"/>
        <v>Sat</v>
      </c>
      <c r="FJ36" s="172" t="str">
        <f t="shared" ca="1" si="26"/>
        <v>सब्जी-रोटी</v>
      </c>
      <c r="FK36" s="195"/>
      <c r="FL36" s="196"/>
      <c r="FM36" s="197"/>
      <c r="FN36" s="197"/>
      <c r="FO36" s="197"/>
      <c r="FP36" s="197"/>
      <c r="FQ36" s="197"/>
      <c r="FR36" s="197"/>
      <c r="FS36" s="197"/>
      <c r="FT36" s="197"/>
      <c r="FU36" s="196"/>
      <c r="FV36" s="197"/>
      <c r="FW36" s="197"/>
      <c r="FX36" s="197"/>
      <c r="FY36" s="197"/>
      <c r="FZ36" s="197"/>
      <c r="GA36" s="197"/>
      <c r="GB36" s="197"/>
      <c r="GC36" s="197"/>
      <c r="GD36" s="197"/>
      <c r="GE36" s="198"/>
      <c r="GF36" s="154">
        <f ca="1">IFERROR(INDEX(AWAKASH!FQ$10:FR$40,MATCH(GG36,AWAKASH!FR$10:FR$40,0),1),0)</f>
        <v>0</v>
      </c>
      <c r="GG36" s="155">
        <f t="shared" ca="1" si="7"/>
        <v>43822</v>
      </c>
      <c r="GH36" s="156" t="str">
        <f t="shared" ca="1" si="27"/>
        <v>Mon</v>
      </c>
      <c r="GI36" s="157" t="str">
        <f t="shared" ca="1" si="28"/>
        <v>सब्जी-रोटी</v>
      </c>
      <c r="GJ36" s="203"/>
      <c r="GK36" s="204"/>
      <c r="GL36" s="205"/>
      <c r="GM36" s="205"/>
      <c r="GN36" s="205"/>
      <c r="GO36" s="205"/>
      <c r="GP36" s="205"/>
      <c r="GQ36" s="205"/>
      <c r="GR36" s="205"/>
      <c r="GS36" s="205"/>
      <c r="GT36" s="204"/>
      <c r="GU36" s="205"/>
      <c r="GV36" s="205"/>
      <c r="GW36" s="205"/>
      <c r="GX36" s="205"/>
      <c r="GY36" s="205"/>
      <c r="GZ36" s="205"/>
      <c r="HA36" s="205"/>
      <c r="HB36" s="205"/>
      <c r="HC36" s="205"/>
      <c r="HD36" s="206"/>
      <c r="HE36" s="154">
        <f ca="1">IFERROR(INDEX(AWAKASH!GE$10:GF$40,MATCH(HF36,AWAKASH!GF$10:GF$40,0),1),0)</f>
        <v>0</v>
      </c>
      <c r="HF36" s="158">
        <f t="shared" ca="1" si="8"/>
        <v>43853</v>
      </c>
      <c r="HG36" s="159" t="str">
        <f t="shared" ca="1" si="29"/>
        <v>Thu</v>
      </c>
      <c r="HH36" s="160" t="str">
        <f t="shared" ca="1" si="30"/>
        <v>खिचड़ी-सब्जी</v>
      </c>
      <c r="HI36" s="211"/>
      <c r="HJ36" s="212"/>
      <c r="HK36" s="213"/>
      <c r="HL36" s="213"/>
      <c r="HM36" s="213"/>
      <c r="HN36" s="213"/>
      <c r="HO36" s="213"/>
      <c r="HP36" s="213"/>
      <c r="HQ36" s="213"/>
      <c r="HR36" s="213"/>
      <c r="HS36" s="212"/>
      <c r="HT36" s="213"/>
      <c r="HU36" s="213"/>
      <c r="HV36" s="213"/>
      <c r="HW36" s="213"/>
      <c r="HX36" s="213"/>
      <c r="HY36" s="213"/>
      <c r="HZ36" s="213"/>
      <c r="IA36" s="213"/>
      <c r="IB36" s="213"/>
      <c r="IC36" s="214"/>
      <c r="ID36" s="154">
        <f ca="1">IFERROR(INDEX(AWAKASH!GS$10:GT$40,MATCH(IE36,AWAKASH!GT$10:GT$40,0),1),0)</f>
        <v>0</v>
      </c>
      <c r="IE36" s="161">
        <f t="shared" ca="1" si="9"/>
        <v>0</v>
      </c>
      <c r="IF36" s="162" t="str">
        <f t="shared" ca="1" si="31"/>
        <v/>
      </c>
      <c r="IG36" s="163" t="str">
        <f t="shared" ca="1" si="32"/>
        <v/>
      </c>
      <c r="IH36" s="219"/>
      <c r="II36" s="220"/>
      <c r="IJ36" s="221"/>
      <c r="IK36" s="221"/>
      <c r="IL36" s="221"/>
      <c r="IM36" s="221"/>
      <c r="IN36" s="221"/>
      <c r="IO36" s="221"/>
      <c r="IP36" s="221"/>
      <c r="IQ36" s="221"/>
      <c r="IR36" s="220"/>
      <c r="IS36" s="221"/>
      <c r="IT36" s="221"/>
      <c r="IU36" s="221"/>
      <c r="IV36" s="221"/>
      <c r="IW36" s="221"/>
      <c r="IX36" s="221"/>
      <c r="IY36" s="221"/>
      <c r="IZ36" s="221"/>
      <c r="JA36" s="221"/>
      <c r="JB36" s="222"/>
      <c r="JC36" s="154">
        <f ca="1">IFERROR(INDEX(AWAKASH!HG$10:HH$40,MATCH(JD36,AWAKASH!HH$10:HH$40,0),1),0)</f>
        <v>0</v>
      </c>
      <c r="JD36" s="164">
        <f t="shared" ca="1" si="10"/>
        <v>0</v>
      </c>
      <c r="JE36" s="165" t="str">
        <f t="shared" ca="1" si="33"/>
        <v/>
      </c>
      <c r="JF36" s="166" t="str">
        <f t="shared" ca="1" si="34"/>
        <v/>
      </c>
      <c r="JG36" s="227"/>
      <c r="JH36" s="228"/>
      <c r="JI36" s="229"/>
      <c r="JJ36" s="229"/>
      <c r="JK36" s="229"/>
      <c r="JL36" s="229"/>
      <c r="JM36" s="229"/>
      <c r="JN36" s="229"/>
      <c r="JO36" s="229"/>
      <c r="JP36" s="229"/>
      <c r="JQ36" s="228"/>
      <c r="JR36" s="229"/>
      <c r="JS36" s="229"/>
      <c r="JT36" s="229"/>
      <c r="JU36" s="229"/>
      <c r="JV36" s="229"/>
      <c r="JW36" s="229"/>
      <c r="JX36" s="229"/>
      <c r="JY36" s="229"/>
      <c r="JZ36" s="229"/>
      <c r="KA36" s="230"/>
      <c r="KB36" s="154">
        <f ca="1">IFERROR(INDEX(AWAKASH!HU$10:HV$40,MATCH(KC36,AWAKASH!HV$10:HV$40,0),1),0)</f>
        <v>0</v>
      </c>
      <c r="KC36" s="167">
        <f t="shared" ca="1" si="11"/>
        <v>0</v>
      </c>
      <c r="KD36" s="168" t="str">
        <f t="shared" ca="1" si="35"/>
        <v/>
      </c>
      <c r="KE36" s="169" t="str">
        <f t="shared" ca="1" si="36"/>
        <v/>
      </c>
      <c r="KF36" s="235"/>
      <c r="KG36" s="236"/>
      <c r="KH36" s="237"/>
      <c r="KI36" s="237"/>
      <c r="KJ36" s="237"/>
      <c r="KK36" s="237"/>
      <c r="KL36" s="237"/>
      <c r="KM36" s="237"/>
      <c r="KN36" s="237"/>
      <c r="KO36" s="237"/>
      <c r="KP36" s="236"/>
      <c r="KQ36" s="237"/>
      <c r="KR36" s="237"/>
      <c r="KS36" s="237"/>
      <c r="KT36" s="237"/>
      <c r="KU36" s="237"/>
      <c r="KV36" s="237"/>
      <c r="KW36" s="237"/>
      <c r="KX36" s="237"/>
      <c r="KY36" s="237"/>
      <c r="KZ36" s="238"/>
      <c r="LA36" s="46"/>
    </row>
    <row r="37" spans="1:313" ht="20.100000000000001" customHeight="1" x14ac:dyDescent="0.25">
      <c r="A37" s="3">
        <v>24</v>
      </c>
      <c r="M37" s="46">
        <f ca="1">IFERROR(INDEX(AWAKASH!I$10:J$40,MATCH(N37,AWAKASH!J$10:J$40,0),1),0)</f>
        <v>0</v>
      </c>
      <c r="N37" s="170">
        <f t="shared" ca="1" si="0"/>
        <v>43609</v>
      </c>
      <c r="O37" s="171" t="str">
        <f t="shared" ca="1" si="13"/>
        <v>Fri</v>
      </c>
      <c r="P37" s="172" t="str">
        <f t="shared" ca="1" si="14"/>
        <v>दाल-रोटी</v>
      </c>
      <c r="Q37" s="195"/>
      <c r="R37" s="196"/>
      <c r="S37" s="193"/>
      <c r="T37" s="197"/>
      <c r="U37" s="197"/>
      <c r="V37" s="197"/>
      <c r="W37" s="197"/>
      <c r="X37" s="197"/>
      <c r="Y37" s="197"/>
      <c r="Z37" s="197"/>
      <c r="AA37" s="196"/>
      <c r="AB37" s="197"/>
      <c r="AC37" s="197"/>
      <c r="AD37" s="197"/>
      <c r="AE37" s="197"/>
      <c r="AF37" s="197"/>
      <c r="AG37" s="197"/>
      <c r="AH37" s="197"/>
      <c r="AI37" s="197"/>
      <c r="AJ37" s="197"/>
      <c r="AK37" s="198"/>
      <c r="AL37" s="154">
        <f ca="1">IFERROR(INDEX(AWAKASH!W$10:X$40,MATCH(AM37,AWAKASH!X$10:X$40,0),1),0)</f>
        <v>0</v>
      </c>
      <c r="AM37" s="155">
        <f t="shared" ca="1" si="1"/>
        <v>43640</v>
      </c>
      <c r="AN37" s="156" t="str">
        <f t="shared" ca="1" si="15"/>
        <v>Mon</v>
      </c>
      <c r="AO37" s="157" t="str">
        <f t="shared" ca="1" si="16"/>
        <v>सब्जी-रोटी</v>
      </c>
      <c r="AP37" s="203"/>
      <c r="AQ37" s="204"/>
      <c r="AR37" s="205"/>
      <c r="AS37" s="205"/>
      <c r="AT37" s="205"/>
      <c r="AU37" s="205"/>
      <c r="AV37" s="205"/>
      <c r="AW37" s="205"/>
      <c r="AX37" s="205"/>
      <c r="AY37" s="205"/>
      <c r="AZ37" s="204"/>
      <c r="BA37" s="205"/>
      <c r="BB37" s="205"/>
      <c r="BC37" s="205"/>
      <c r="BD37" s="205"/>
      <c r="BE37" s="205"/>
      <c r="BF37" s="205"/>
      <c r="BG37" s="205"/>
      <c r="BH37" s="205"/>
      <c r="BI37" s="205"/>
      <c r="BJ37" s="206"/>
      <c r="BK37" s="154">
        <f ca="1">IFERROR(INDEX(AWAKASH!AK$10:AL$40,MATCH(BL37,AWAKASH!AL$10:AL$40,0),1),0)</f>
        <v>0</v>
      </c>
      <c r="BL37" s="158">
        <f t="shared" ca="1" si="2"/>
        <v>43670</v>
      </c>
      <c r="BM37" s="159" t="str">
        <f t="shared" ca="1" si="17"/>
        <v>Wed</v>
      </c>
      <c r="BN37" s="160" t="str">
        <f t="shared" ca="1" si="18"/>
        <v>दाल-रोटी</v>
      </c>
      <c r="BO37" s="211"/>
      <c r="BP37" s="212"/>
      <c r="BQ37" s="213"/>
      <c r="BR37" s="213"/>
      <c r="BS37" s="213"/>
      <c r="BT37" s="213"/>
      <c r="BU37" s="213"/>
      <c r="BV37" s="213"/>
      <c r="BW37" s="213"/>
      <c r="BX37" s="213"/>
      <c r="BY37" s="212"/>
      <c r="BZ37" s="213"/>
      <c r="CA37" s="213"/>
      <c r="CB37" s="213"/>
      <c r="CC37" s="213"/>
      <c r="CD37" s="213"/>
      <c r="CE37" s="213"/>
      <c r="CF37" s="213"/>
      <c r="CG37" s="213"/>
      <c r="CH37" s="213"/>
      <c r="CI37" s="214"/>
      <c r="CJ37" s="154">
        <f ca="1">IFERROR(INDEX(AWAKASH!AY$10:AZ$40,MATCH(CK37,AWAKASH!AZ$10:AZ$40,0),1),0)</f>
        <v>0</v>
      </c>
      <c r="CK37" s="161">
        <f t="shared" ca="1" si="3"/>
        <v>43701</v>
      </c>
      <c r="CL37" s="162" t="str">
        <f t="shared" ca="1" si="19"/>
        <v>Sat</v>
      </c>
      <c r="CM37" s="163" t="str">
        <f t="shared" ca="1" si="20"/>
        <v>सब्जी-रोटी</v>
      </c>
      <c r="CN37" s="219"/>
      <c r="CO37" s="220"/>
      <c r="CP37" s="221"/>
      <c r="CQ37" s="221"/>
      <c r="CR37" s="221"/>
      <c r="CS37" s="221"/>
      <c r="CT37" s="221"/>
      <c r="CU37" s="221"/>
      <c r="CV37" s="221"/>
      <c r="CW37" s="221"/>
      <c r="CX37" s="220"/>
      <c r="CY37" s="221"/>
      <c r="CZ37" s="221"/>
      <c r="DA37" s="221"/>
      <c r="DB37" s="221"/>
      <c r="DC37" s="221"/>
      <c r="DD37" s="221"/>
      <c r="DE37" s="221"/>
      <c r="DF37" s="221"/>
      <c r="DG37" s="221"/>
      <c r="DH37" s="222"/>
      <c r="DI37" s="154">
        <f ca="1">IFERROR(INDEX(AWAKASH!BM$10:BN$40,MATCH(DJ37,AWAKASH!BN$10:BN$40,0),1),0)</f>
        <v>0</v>
      </c>
      <c r="DJ37" s="164">
        <f t="shared" ca="1" si="4"/>
        <v>43732</v>
      </c>
      <c r="DK37" s="165" t="str">
        <f t="shared" ca="1" si="21"/>
        <v>Tue</v>
      </c>
      <c r="DL37" s="166" t="str">
        <f t="shared" ca="1" si="22"/>
        <v>दाल-चावल</v>
      </c>
      <c r="DM37" s="227"/>
      <c r="DN37" s="228"/>
      <c r="DO37" s="229"/>
      <c r="DP37" s="229"/>
      <c r="DQ37" s="229"/>
      <c r="DR37" s="229"/>
      <c r="DS37" s="229"/>
      <c r="DT37" s="229"/>
      <c r="DU37" s="229"/>
      <c r="DV37" s="229"/>
      <c r="DW37" s="228"/>
      <c r="DX37" s="229"/>
      <c r="DY37" s="229"/>
      <c r="DZ37" s="229"/>
      <c r="EA37" s="229"/>
      <c r="EB37" s="229"/>
      <c r="EC37" s="229"/>
      <c r="ED37" s="229"/>
      <c r="EE37" s="229"/>
      <c r="EF37" s="229"/>
      <c r="EG37" s="230"/>
      <c r="EH37" s="154">
        <f ca="1">IFERROR(INDEX(AWAKASH!CA$10:CB$40,MATCH(EI37,AWAKASH!CB$10:CB$40,0),1),0)</f>
        <v>0</v>
      </c>
      <c r="EI37" s="167">
        <f t="shared" ca="1" si="5"/>
        <v>43762</v>
      </c>
      <c r="EJ37" s="168" t="str">
        <f t="shared" ca="1" si="23"/>
        <v>Thu</v>
      </c>
      <c r="EK37" s="169" t="str">
        <f t="shared" ca="1" si="24"/>
        <v>खिचड़ी-सब्जी</v>
      </c>
      <c r="EL37" s="235"/>
      <c r="EM37" s="236"/>
      <c r="EN37" s="237"/>
      <c r="EO37" s="237"/>
      <c r="EP37" s="237"/>
      <c r="EQ37" s="237"/>
      <c r="ER37" s="237"/>
      <c r="ES37" s="237"/>
      <c r="ET37" s="237"/>
      <c r="EU37" s="237"/>
      <c r="EV37" s="236"/>
      <c r="EW37" s="237"/>
      <c r="EX37" s="237"/>
      <c r="EY37" s="237"/>
      <c r="EZ37" s="237"/>
      <c r="FA37" s="237"/>
      <c r="FB37" s="237"/>
      <c r="FC37" s="237"/>
      <c r="FD37" s="237"/>
      <c r="FE37" s="237"/>
      <c r="FF37" s="238"/>
      <c r="FG37" s="46">
        <f ca="1">IFERROR(INDEX(AWAKASH!FC$10:FD$40,MATCH(FH37,AWAKASH!FD$10:FD$40,0),1),0)</f>
        <v>0</v>
      </c>
      <c r="FH37" s="170">
        <f t="shared" ca="1" si="6"/>
        <v>43793</v>
      </c>
      <c r="FI37" s="171" t="str">
        <f t="shared" ca="1" si="25"/>
        <v>Sun</v>
      </c>
      <c r="FJ37" s="172">
        <f t="shared" ca="1" si="26"/>
        <v>0</v>
      </c>
      <c r="FK37" s="195"/>
      <c r="FL37" s="196"/>
      <c r="FM37" s="197"/>
      <c r="FN37" s="197"/>
      <c r="FO37" s="197"/>
      <c r="FP37" s="197"/>
      <c r="FQ37" s="197"/>
      <c r="FR37" s="197"/>
      <c r="FS37" s="197"/>
      <c r="FT37" s="197"/>
      <c r="FU37" s="196"/>
      <c r="FV37" s="197"/>
      <c r="FW37" s="197"/>
      <c r="FX37" s="197"/>
      <c r="FY37" s="197"/>
      <c r="FZ37" s="197"/>
      <c r="GA37" s="197"/>
      <c r="GB37" s="197"/>
      <c r="GC37" s="197"/>
      <c r="GD37" s="197"/>
      <c r="GE37" s="198"/>
      <c r="GF37" s="154">
        <f ca="1">IFERROR(INDEX(AWAKASH!FQ$10:FR$40,MATCH(GG37,AWAKASH!FR$10:FR$40,0),1),0)</f>
        <v>0</v>
      </c>
      <c r="GG37" s="155">
        <f t="shared" ca="1" si="7"/>
        <v>43823</v>
      </c>
      <c r="GH37" s="156" t="str">
        <f t="shared" ca="1" si="27"/>
        <v>Tue</v>
      </c>
      <c r="GI37" s="157" t="str">
        <f t="shared" ca="1" si="28"/>
        <v>दाल-चावल</v>
      </c>
      <c r="GJ37" s="203"/>
      <c r="GK37" s="204"/>
      <c r="GL37" s="205"/>
      <c r="GM37" s="205"/>
      <c r="GN37" s="205"/>
      <c r="GO37" s="205"/>
      <c r="GP37" s="205"/>
      <c r="GQ37" s="205"/>
      <c r="GR37" s="205"/>
      <c r="GS37" s="205"/>
      <c r="GT37" s="204"/>
      <c r="GU37" s="205"/>
      <c r="GV37" s="205"/>
      <c r="GW37" s="205"/>
      <c r="GX37" s="205"/>
      <c r="GY37" s="205"/>
      <c r="GZ37" s="205"/>
      <c r="HA37" s="205"/>
      <c r="HB37" s="205"/>
      <c r="HC37" s="205"/>
      <c r="HD37" s="206"/>
      <c r="HE37" s="154">
        <f ca="1">IFERROR(INDEX(AWAKASH!GE$10:GF$40,MATCH(HF37,AWAKASH!GF$10:GF$40,0),1),0)</f>
        <v>0</v>
      </c>
      <c r="HF37" s="158">
        <f t="shared" ca="1" si="8"/>
        <v>43854</v>
      </c>
      <c r="HG37" s="159" t="str">
        <f t="shared" ca="1" si="29"/>
        <v>Fri</v>
      </c>
      <c r="HH37" s="160" t="str">
        <f t="shared" ca="1" si="30"/>
        <v>दाल-रोटी</v>
      </c>
      <c r="HI37" s="211"/>
      <c r="HJ37" s="212"/>
      <c r="HK37" s="213"/>
      <c r="HL37" s="213"/>
      <c r="HM37" s="213"/>
      <c r="HN37" s="213"/>
      <c r="HO37" s="213"/>
      <c r="HP37" s="213"/>
      <c r="HQ37" s="213"/>
      <c r="HR37" s="213"/>
      <c r="HS37" s="212"/>
      <c r="HT37" s="213"/>
      <c r="HU37" s="213"/>
      <c r="HV37" s="213"/>
      <c r="HW37" s="213"/>
      <c r="HX37" s="213"/>
      <c r="HY37" s="213"/>
      <c r="HZ37" s="213"/>
      <c r="IA37" s="213"/>
      <c r="IB37" s="213"/>
      <c r="IC37" s="214"/>
      <c r="ID37" s="154">
        <f ca="1">IFERROR(INDEX(AWAKASH!GS$10:GT$40,MATCH(IE37,AWAKASH!GT$10:GT$40,0),1),0)</f>
        <v>0</v>
      </c>
      <c r="IE37" s="161">
        <f t="shared" ca="1" si="9"/>
        <v>0</v>
      </c>
      <c r="IF37" s="162" t="str">
        <f t="shared" ca="1" si="31"/>
        <v/>
      </c>
      <c r="IG37" s="163" t="str">
        <f t="shared" ca="1" si="32"/>
        <v/>
      </c>
      <c r="IH37" s="219"/>
      <c r="II37" s="220"/>
      <c r="IJ37" s="221"/>
      <c r="IK37" s="221"/>
      <c r="IL37" s="221"/>
      <c r="IM37" s="221"/>
      <c r="IN37" s="221"/>
      <c r="IO37" s="221"/>
      <c r="IP37" s="221"/>
      <c r="IQ37" s="221"/>
      <c r="IR37" s="220"/>
      <c r="IS37" s="221"/>
      <c r="IT37" s="221"/>
      <c r="IU37" s="221"/>
      <c r="IV37" s="221"/>
      <c r="IW37" s="221"/>
      <c r="IX37" s="221"/>
      <c r="IY37" s="221"/>
      <c r="IZ37" s="221"/>
      <c r="JA37" s="221"/>
      <c r="JB37" s="222"/>
      <c r="JC37" s="154">
        <f ca="1">IFERROR(INDEX(AWAKASH!HG$10:HH$40,MATCH(JD37,AWAKASH!HH$10:HH$40,0),1),0)</f>
        <v>0</v>
      </c>
      <c r="JD37" s="164">
        <f t="shared" ca="1" si="10"/>
        <v>0</v>
      </c>
      <c r="JE37" s="165" t="str">
        <f t="shared" ca="1" si="33"/>
        <v/>
      </c>
      <c r="JF37" s="166" t="str">
        <f t="shared" ca="1" si="34"/>
        <v/>
      </c>
      <c r="JG37" s="227"/>
      <c r="JH37" s="228"/>
      <c r="JI37" s="229"/>
      <c r="JJ37" s="229"/>
      <c r="JK37" s="229"/>
      <c r="JL37" s="229"/>
      <c r="JM37" s="229"/>
      <c r="JN37" s="229"/>
      <c r="JO37" s="229"/>
      <c r="JP37" s="229"/>
      <c r="JQ37" s="228"/>
      <c r="JR37" s="229"/>
      <c r="JS37" s="229"/>
      <c r="JT37" s="229"/>
      <c r="JU37" s="229"/>
      <c r="JV37" s="229"/>
      <c r="JW37" s="229"/>
      <c r="JX37" s="229"/>
      <c r="JY37" s="229"/>
      <c r="JZ37" s="229"/>
      <c r="KA37" s="230"/>
      <c r="KB37" s="154">
        <f ca="1">IFERROR(INDEX(AWAKASH!HU$10:HV$40,MATCH(KC37,AWAKASH!HV$10:HV$40,0),1),0)</f>
        <v>0</v>
      </c>
      <c r="KC37" s="167">
        <f t="shared" ca="1" si="11"/>
        <v>0</v>
      </c>
      <c r="KD37" s="168" t="str">
        <f t="shared" ca="1" si="35"/>
        <v/>
      </c>
      <c r="KE37" s="169" t="str">
        <f t="shared" ca="1" si="36"/>
        <v/>
      </c>
      <c r="KF37" s="235"/>
      <c r="KG37" s="236"/>
      <c r="KH37" s="237"/>
      <c r="KI37" s="237"/>
      <c r="KJ37" s="237"/>
      <c r="KK37" s="237"/>
      <c r="KL37" s="237"/>
      <c r="KM37" s="237"/>
      <c r="KN37" s="237"/>
      <c r="KO37" s="237"/>
      <c r="KP37" s="236"/>
      <c r="KQ37" s="237"/>
      <c r="KR37" s="237"/>
      <c r="KS37" s="237"/>
      <c r="KT37" s="237"/>
      <c r="KU37" s="237"/>
      <c r="KV37" s="237"/>
      <c r="KW37" s="237"/>
      <c r="KX37" s="237"/>
      <c r="KY37" s="237"/>
      <c r="KZ37" s="238"/>
      <c r="LA37" s="46"/>
    </row>
    <row r="38" spans="1:313" ht="20.100000000000001" customHeight="1" x14ac:dyDescent="0.25">
      <c r="A38" s="3">
        <v>25</v>
      </c>
      <c r="M38" s="46">
        <f ca="1">IFERROR(INDEX(AWAKASH!I$10:J$40,MATCH(N38,AWAKASH!J$10:J$40,0),1),0)</f>
        <v>0</v>
      </c>
      <c r="N38" s="170">
        <f t="shared" ca="1" si="0"/>
        <v>43610</v>
      </c>
      <c r="O38" s="171" t="str">
        <f t="shared" ca="1" si="13"/>
        <v>Sat</v>
      </c>
      <c r="P38" s="172" t="str">
        <f t="shared" ca="1" si="14"/>
        <v>सब्जी-रोटी</v>
      </c>
      <c r="Q38" s="195"/>
      <c r="R38" s="196"/>
      <c r="S38" s="193"/>
      <c r="T38" s="197"/>
      <c r="U38" s="197"/>
      <c r="V38" s="197"/>
      <c r="W38" s="197"/>
      <c r="X38" s="197"/>
      <c r="Y38" s="197"/>
      <c r="Z38" s="197"/>
      <c r="AA38" s="196"/>
      <c r="AB38" s="197"/>
      <c r="AC38" s="197"/>
      <c r="AD38" s="197"/>
      <c r="AE38" s="197"/>
      <c r="AF38" s="197"/>
      <c r="AG38" s="197"/>
      <c r="AH38" s="197"/>
      <c r="AI38" s="197"/>
      <c r="AJ38" s="197"/>
      <c r="AK38" s="198"/>
      <c r="AL38" s="154">
        <f ca="1">IFERROR(INDEX(AWAKASH!W$10:X$40,MATCH(AM38,AWAKASH!X$10:X$40,0),1),0)</f>
        <v>0</v>
      </c>
      <c r="AM38" s="155">
        <f t="shared" ca="1" si="1"/>
        <v>43641</v>
      </c>
      <c r="AN38" s="156" t="str">
        <f t="shared" ca="1" si="15"/>
        <v>Tue</v>
      </c>
      <c r="AO38" s="157" t="str">
        <f t="shared" ca="1" si="16"/>
        <v>दाल-चावल</v>
      </c>
      <c r="AP38" s="203"/>
      <c r="AQ38" s="204"/>
      <c r="AR38" s="205"/>
      <c r="AS38" s="205"/>
      <c r="AT38" s="205"/>
      <c r="AU38" s="205"/>
      <c r="AV38" s="205"/>
      <c r="AW38" s="205"/>
      <c r="AX38" s="205"/>
      <c r="AY38" s="205"/>
      <c r="AZ38" s="204"/>
      <c r="BA38" s="205"/>
      <c r="BB38" s="205"/>
      <c r="BC38" s="205"/>
      <c r="BD38" s="205"/>
      <c r="BE38" s="205"/>
      <c r="BF38" s="205"/>
      <c r="BG38" s="205"/>
      <c r="BH38" s="205"/>
      <c r="BI38" s="205"/>
      <c r="BJ38" s="206"/>
      <c r="BK38" s="154">
        <f ca="1">IFERROR(INDEX(AWAKASH!AK$10:AL$40,MATCH(BL38,AWAKASH!AL$10:AL$40,0),1),0)</f>
        <v>0</v>
      </c>
      <c r="BL38" s="158">
        <f t="shared" ca="1" si="2"/>
        <v>43671</v>
      </c>
      <c r="BM38" s="159" t="str">
        <f t="shared" ca="1" si="17"/>
        <v>Thu</v>
      </c>
      <c r="BN38" s="160" t="str">
        <f t="shared" ca="1" si="18"/>
        <v>खिचड़ी-सब्जी</v>
      </c>
      <c r="BO38" s="211"/>
      <c r="BP38" s="212"/>
      <c r="BQ38" s="213"/>
      <c r="BR38" s="213"/>
      <c r="BS38" s="213"/>
      <c r="BT38" s="213"/>
      <c r="BU38" s="213"/>
      <c r="BV38" s="213"/>
      <c r="BW38" s="213"/>
      <c r="BX38" s="213"/>
      <c r="BY38" s="212"/>
      <c r="BZ38" s="213"/>
      <c r="CA38" s="213"/>
      <c r="CB38" s="213"/>
      <c r="CC38" s="213"/>
      <c r="CD38" s="213"/>
      <c r="CE38" s="213"/>
      <c r="CF38" s="213"/>
      <c r="CG38" s="213"/>
      <c r="CH38" s="213"/>
      <c r="CI38" s="214"/>
      <c r="CJ38" s="154">
        <f ca="1">IFERROR(INDEX(AWAKASH!AY$10:AZ$40,MATCH(CK38,AWAKASH!AZ$10:AZ$40,0),1),0)</f>
        <v>0</v>
      </c>
      <c r="CK38" s="161">
        <f t="shared" ca="1" si="3"/>
        <v>43702</v>
      </c>
      <c r="CL38" s="162" t="str">
        <f t="shared" ca="1" si="19"/>
        <v>Sun</v>
      </c>
      <c r="CM38" s="163">
        <f t="shared" ca="1" si="20"/>
        <v>0</v>
      </c>
      <c r="CN38" s="219"/>
      <c r="CO38" s="220"/>
      <c r="CP38" s="221"/>
      <c r="CQ38" s="221"/>
      <c r="CR38" s="221"/>
      <c r="CS38" s="221"/>
      <c r="CT38" s="221"/>
      <c r="CU38" s="221"/>
      <c r="CV38" s="221"/>
      <c r="CW38" s="221"/>
      <c r="CX38" s="220"/>
      <c r="CY38" s="221"/>
      <c r="CZ38" s="221"/>
      <c r="DA38" s="221"/>
      <c r="DB38" s="221"/>
      <c r="DC38" s="221"/>
      <c r="DD38" s="221"/>
      <c r="DE38" s="221"/>
      <c r="DF38" s="221"/>
      <c r="DG38" s="221"/>
      <c r="DH38" s="222"/>
      <c r="DI38" s="154">
        <f ca="1">IFERROR(INDEX(AWAKASH!BM$10:BN$40,MATCH(DJ38,AWAKASH!BN$10:BN$40,0),1),0)</f>
        <v>0</v>
      </c>
      <c r="DJ38" s="164">
        <f t="shared" ca="1" si="4"/>
        <v>43733</v>
      </c>
      <c r="DK38" s="165" t="str">
        <f t="shared" ca="1" si="21"/>
        <v>Wed</v>
      </c>
      <c r="DL38" s="166" t="str">
        <f t="shared" ca="1" si="22"/>
        <v>दाल-रोटी</v>
      </c>
      <c r="DM38" s="227"/>
      <c r="DN38" s="228"/>
      <c r="DO38" s="229"/>
      <c r="DP38" s="229"/>
      <c r="DQ38" s="229"/>
      <c r="DR38" s="229"/>
      <c r="DS38" s="229"/>
      <c r="DT38" s="229"/>
      <c r="DU38" s="229"/>
      <c r="DV38" s="229"/>
      <c r="DW38" s="228"/>
      <c r="DX38" s="229"/>
      <c r="DY38" s="229"/>
      <c r="DZ38" s="229"/>
      <c r="EA38" s="229"/>
      <c r="EB38" s="229"/>
      <c r="EC38" s="229"/>
      <c r="ED38" s="229"/>
      <c r="EE38" s="229"/>
      <c r="EF38" s="229"/>
      <c r="EG38" s="230"/>
      <c r="EH38" s="154">
        <f ca="1">IFERROR(INDEX(AWAKASH!CA$10:CB$40,MATCH(EI38,AWAKASH!CB$10:CB$40,0),1),0)</f>
        <v>0</v>
      </c>
      <c r="EI38" s="167">
        <f t="shared" ca="1" si="5"/>
        <v>43763</v>
      </c>
      <c r="EJ38" s="168" t="str">
        <f t="shared" ca="1" si="23"/>
        <v>Fri</v>
      </c>
      <c r="EK38" s="169" t="str">
        <f t="shared" ca="1" si="24"/>
        <v>दाल-रोटी</v>
      </c>
      <c r="EL38" s="235"/>
      <c r="EM38" s="236"/>
      <c r="EN38" s="237"/>
      <c r="EO38" s="237"/>
      <c r="EP38" s="237"/>
      <c r="EQ38" s="237"/>
      <c r="ER38" s="237"/>
      <c r="ES38" s="237"/>
      <c r="ET38" s="237"/>
      <c r="EU38" s="237"/>
      <c r="EV38" s="236"/>
      <c r="EW38" s="237"/>
      <c r="EX38" s="237"/>
      <c r="EY38" s="237"/>
      <c r="EZ38" s="237"/>
      <c r="FA38" s="237"/>
      <c r="FB38" s="237"/>
      <c r="FC38" s="237"/>
      <c r="FD38" s="237"/>
      <c r="FE38" s="237"/>
      <c r="FF38" s="238"/>
      <c r="FG38" s="46">
        <f ca="1">IFERROR(INDEX(AWAKASH!FC$10:FD$40,MATCH(FH38,AWAKASH!FD$10:FD$40,0),1),0)</f>
        <v>0</v>
      </c>
      <c r="FH38" s="170">
        <f t="shared" ca="1" si="6"/>
        <v>43794</v>
      </c>
      <c r="FI38" s="171" t="str">
        <f t="shared" ca="1" si="25"/>
        <v>Mon</v>
      </c>
      <c r="FJ38" s="172" t="str">
        <f t="shared" ca="1" si="26"/>
        <v>सब्जी-रोटी</v>
      </c>
      <c r="FK38" s="195"/>
      <c r="FL38" s="196"/>
      <c r="FM38" s="197"/>
      <c r="FN38" s="197"/>
      <c r="FO38" s="197"/>
      <c r="FP38" s="197"/>
      <c r="FQ38" s="197"/>
      <c r="FR38" s="197"/>
      <c r="FS38" s="197"/>
      <c r="FT38" s="197"/>
      <c r="FU38" s="196"/>
      <c r="FV38" s="197"/>
      <c r="FW38" s="197"/>
      <c r="FX38" s="197"/>
      <c r="FY38" s="197"/>
      <c r="FZ38" s="197"/>
      <c r="GA38" s="197"/>
      <c r="GB38" s="197"/>
      <c r="GC38" s="197"/>
      <c r="GD38" s="197"/>
      <c r="GE38" s="198"/>
      <c r="GF38" s="154">
        <f ca="1">IFERROR(INDEX(AWAKASH!FQ$10:FR$40,MATCH(GG38,AWAKASH!FR$10:FR$40,0),1),0)</f>
        <v>0</v>
      </c>
      <c r="GG38" s="155">
        <f t="shared" ca="1" si="7"/>
        <v>43824</v>
      </c>
      <c r="GH38" s="156" t="str">
        <f t="shared" ca="1" si="27"/>
        <v>Wed</v>
      </c>
      <c r="GI38" s="157" t="str">
        <f t="shared" ca="1" si="28"/>
        <v>दाल-रोटी</v>
      </c>
      <c r="GJ38" s="203"/>
      <c r="GK38" s="204"/>
      <c r="GL38" s="205"/>
      <c r="GM38" s="205"/>
      <c r="GN38" s="205"/>
      <c r="GO38" s="205"/>
      <c r="GP38" s="205"/>
      <c r="GQ38" s="205"/>
      <c r="GR38" s="205"/>
      <c r="GS38" s="205"/>
      <c r="GT38" s="204"/>
      <c r="GU38" s="205"/>
      <c r="GV38" s="205"/>
      <c r="GW38" s="205"/>
      <c r="GX38" s="205"/>
      <c r="GY38" s="205"/>
      <c r="GZ38" s="205"/>
      <c r="HA38" s="205"/>
      <c r="HB38" s="205"/>
      <c r="HC38" s="205"/>
      <c r="HD38" s="206"/>
      <c r="HE38" s="154">
        <f ca="1">IFERROR(INDEX(AWAKASH!GE$10:GF$40,MATCH(HF38,AWAKASH!GF$10:GF$40,0),1),0)</f>
        <v>0</v>
      </c>
      <c r="HF38" s="158">
        <f t="shared" ca="1" si="8"/>
        <v>43855</v>
      </c>
      <c r="HG38" s="159" t="str">
        <f t="shared" ca="1" si="29"/>
        <v>Sat</v>
      </c>
      <c r="HH38" s="160" t="str">
        <f t="shared" ca="1" si="30"/>
        <v>सब्जी-रोटी</v>
      </c>
      <c r="HI38" s="211"/>
      <c r="HJ38" s="212"/>
      <c r="HK38" s="213"/>
      <c r="HL38" s="213"/>
      <c r="HM38" s="213"/>
      <c r="HN38" s="213"/>
      <c r="HO38" s="213"/>
      <c r="HP38" s="213"/>
      <c r="HQ38" s="213"/>
      <c r="HR38" s="213"/>
      <c r="HS38" s="212"/>
      <c r="HT38" s="213"/>
      <c r="HU38" s="213"/>
      <c r="HV38" s="213"/>
      <c r="HW38" s="213"/>
      <c r="HX38" s="213"/>
      <c r="HY38" s="213"/>
      <c r="HZ38" s="213"/>
      <c r="IA38" s="213"/>
      <c r="IB38" s="213"/>
      <c r="IC38" s="214"/>
      <c r="ID38" s="154">
        <f ca="1">IFERROR(INDEX(AWAKASH!GS$10:GT$40,MATCH(IE38,AWAKASH!GT$10:GT$40,0),1),0)</f>
        <v>0</v>
      </c>
      <c r="IE38" s="161">
        <f t="shared" ca="1" si="9"/>
        <v>0</v>
      </c>
      <c r="IF38" s="162" t="str">
        <f t="shared" ca="1" si="31"/>
        <v/>
      </c>
      <c r="IG38" s="163" t="str">
        <f t="shared" ca="1" si="32"/>
        <v/>
      </c>
      <c r="IH38" s="219"/>
      <c r="II38" s="220"/>
      <c r="IJ38" s="221"/>
      <c r="IK38" s="221"/>
      <c r="IL38" s="221"/>
      <c r="IM38" s="221"/>
      <c r="IN38" s="221"/>
      <c r="IO38" s="221"/>
      <c r="IP38" s="221"/>
      <c r="IQ38" s="221"/>
      <c r="IR38" s="220"/>
      <c r="IS38" s="221"/>
      <c r="IT38" s="221"/>
      <c r="IU38" s="221"/>
      <c r="IV38" s="221"/>
      <c r="IW38" s="221"/>
      <c r="IX38" s="221"/>
      <c r="IY38" s="221"/>
      <c r="IZ38" s="221"/>
      <c r="JA38" s="221"/>
      <c r="JB38" s="222"/>
      <c r="JC38" s="154">
        <f ca="1">IFERROR(INDEX(AWAKASH!HG$10:HH$40,MATCH(JD38,AWAKASH!HH$10:HH$40,0),1),0)</f>
        <v>0</v>
      </c>
      <c r="JD38" s="164">
        <f t="shared" ca="1" si="10"/>
        <v>0</v>
      </c>
      <c r="JE38" s="165" t="str">
        <f t="shared" ca="1" si="33"/>
        <v/>
      </c>
      <c r="JF38" s="166" t="str">
        <f t="shared" ca="1" si="34"/>
        <v/>
      </c>
      <c r="JG38" s="227"/>
      <c r="JH38" s="228"/>
      <c r="JI38" s="229"/>
      <c r="JJ38" s="229"/>
      <c r="JK38" s="229"/>
      <c r="JL38" s="229"/>
      <c r="JM38" s="229"/>
      <c r="JN38" s="229"/>
      <c r="JO38" s="229"/>
      <c r="JP38" s="229"/>
      <c r="JQ38" s="228"/>
      <c r="JR38" s="229"/>
      <c r="JS38" s="229"/>
      <c r="JT38" s="229"/>
      <c r="JU38" s="229"/>
      <c r="JV38" s="229"/>
      <c r="JW38" s="229"/>
      <c r="JX38" s="229"/>
      <c r="JY38" s="229"/>
      <c r="JZ38" s="229"/>
      <c r="KA38" s="230"/>
      <c r="KB38" s="154">
        <f ca="1">IFERROR(INDEX(AWAKASH!HU$10:HV$40,MATCH(KC38,AWAKASH!HV$10:HV$40,0),1),0)</f>
        <v>0</v>
      </c>
      <c r="KC38" s="167">
        <f t="shared" ca="1" si="11"/>
        <v>0</v>
      </c>
      <c r="KD38" s="168" t="str">
        <f t="shared" ca="1" si="35"/>
        <v/>
      </c>
      <c r="KE38" s="169" t="str">
        <f t="shared" ca="1" si="36"/>
        <v/>
      </c>
      <c r="KF38" s="235"/>
      <c r="KG38" s="236"/>
      <c r="KH38" s="237"/>
      <c r="KI38" s="237"/>
      <c r="KJ38" s="237"/>
      <c r="KK38" s="237"/>
      <c r="KL38" s="237"/>
      <c r="KM38" s="237"/>
      <c r="KN38" s="237"/>
      <c r="KO38" s="237"/>
      <c r="KP38" s="236"/>
      <c r="KQ38" s="237"/>
      <c r="KR38" s="237"/>
      <c r="KS38" s="237"/>
      <c r="KT38" s="237"/>
      <c r="KU38" s="237"/>
      <c r="KV38" s="237"/>
      <c r="KW38" s="237"/>
      <c r="KX38" s="237"/>
      <c r="KY38" s="237"/>
      <c r="KZ38" s="238"/>
      <c r="LA38" s="46"/>
    </row>
    <row r="39" spans="1:313" ht="20.100000000000001" customHeight="1" x14ac:dyDescent="0.25">
      <c r="A39" s="3">
        <v>26</v>
      </c>
      <c r="M39" s="46">
        <f ca="1">IFERROR(INDEX(AWAKASH!I$10:J$40,MATCH(N39,AWAKASH!J$10:J$40,0),1),0)</f>
        <v>0</v>
      </c>
      <c r="N39" s="170">
        <f t="shared" ca="1" si="0"/>
        <v>43611</v>
      </c>
      <c r="O39" s="171" t="str">
        <f t="shared" ca="1" si="13"/>
        <v>Sun</v>
      </c>
      <c r="P39" s="172">
        <f t="shared" ca="1" si="14"/>
        <v>0</v>
      </c>
      <c r="Q39" s="195"/>
      <c r="R39" s="196"/>
      <c r="S39" s="197"/>
      <c r="T39" s="197"/>
      <c r="U39" s="197"/>
      <c r="V39" s="197"/>
      <c r="W39" s="197"/>
      <c r="X39" s="197"/>
      <c r="Y39" s="197"/>
      <c r="Z39" s="197"/>
      <c r="AA39" s="196"/>
      <c r="AB39" s="197"/>
      <c r="AC39" s="197"/>
      <c r="AD39" s="197"/>
      <c r="AE39" s="197"/>
      <c r="AF39" s="197"/>
      <c r="AG39" s="197"/>
      <c r="AH39" s="197"/>
      <c r="AI39" s="197"/>
      <c r="AJ39" s="197"/>
      <c r="AK39" s="198"/>
      <c r="AL39" s="154">
        <f ca="1">IFERROR(INDEX(AWAKASH!W$10:X$40,MATCH(AM39,AWAKASH!X$10:X$40,0),1),0)</f>
        <v>0</v>
      </c>
      <c r="AM39" s="155">
        <f t="shared" ca="1" si="1"/>
        <v>43642</v>
      </c>
      <c r="AN39" s="156" t="str">
        <f t="shared" ca="1" si="15"/>
        <v>Wed</v>
      </c>
      <c r="AO39" s="157" t="str">
        <f t="shared" ca="1" si="16"/>
        <v>दाल-रोटी</v>
      </c>
      <c r="AP39" s="203"/>
      <c r="AQ39" s="204"/>
      <c r="AR39" s="205"/>
      <c r="AS39" s="205"/>
      <c r="AT39" s="205"/>
      <c r="AU39" s="205"/>
      <c r="AV39" s="205"/>
      <c r="AW39" s="205"/>
      <c r="AX39" s="205"/>
      <c r="AY39" s="205"/>
      <c r="AZ39" s="204"/>
      <c r="BA39" s="205"/>
      <c r="BB39" s="205"/>
      <c r="BC39" s="205"/>
      <c r="BD39" s="205"/>
      <c r="BE39" s="205"/>
      <c r="BF39" s="205"/>
      <c r="BG39" s="205"/>
      <c r="BH39" s="205"/>
      <c r="BI39" s="205"/>
      <c r="BJ39" s="206"/>
      <c r="BK39" s="154">
        <f ca="1">IFERROR(INDEX(AWAKASH!AK$10:AL$40,MATCH(BL39,AWAKASH!AL$10:AL$40,0),1),0)</f>
        <v>0</v>
      </c>
      <c r="BL39" s="158">
        <f t="shared" ca="1" si="2"/>
        <v>43672</v>
      </c>
      <c r="BM39" s="159" t="str">
        <f t="shared" ca="1" si="17"/>
        <v>Fri</v>
      </c>
      <c r="BN39" s="160" t="str">
        <f t="shared" ca="1" si="18"/>
        <v>दाल-रोटी</v>
      </c>
      <c r="BO39" s="211"/>
      <c r="BP39" s="212"/>
      <c r="BQ39" s="213"/>
      <c r="BR39" s="213"/>
      <c r="BS39" s="213"/>
      <c r="BT39" s="213"/>
      <c r="BU39" s="213"/>
      <c r="BV39" s="213"/>
      <c r="BW39" s="213"/>
      <c r="BX39" s="213"/>
      <c r="BY39" s="212"/>
      <c r="BZ39" s="213"/>
      <c r="CA39" s="213"/>
      <c r="CB39" s="213"/>
      <c r="CC39" s="213"/>
      <c r="CD39" s="213"/>
      <c r="CE39" s="213"/>
      <c r="CF39" s="213"/>
      <c r="CG39" s="213"/>
      <c r="CH39" s="213"/>
      <c r="CI39" s="214"/>
      <c r="CJ39" s="154">
        <f ca="1">IFERROR(INDEX(AWAKASH!AY$10:AZ$40,MATCH(CK39,AWAKASH!AZ$10:AZ$40,0),1),0)</f>
        <v>0</v>
      </c>
      <c r="CK39" s="161">
        <f t="shared" ca="1" si="3"/>
        <v>43703</v>
      </c>
      <c r="CL39" s="162" t="str">
        <f t="shared" ca="1" si="19"/>
        <v>Mon</v>
      </c>
      <c r="CM39" s="163" t="str">
        <f t="shared" ca="1" si="20"/>
        <v>सब्जी-रोटी</v>
      </c>
      <c r="CN39" s="219"/>
      <c r="CO39" s="220"/>
      <c r="CP39" s="221"/>
      <c r="CQ39" s="221"/>
      <c r="CR39" s="221"/>
      <c r="CS39" s="221"/>
      <c r="CT39" s="221"/>
      <c r="CU39" s="221"/>
      <c r="CV39" s="221"/>
      <c r="CW39" s="221"/>
      <c r="CX39" s="220"/>
      <c r="CY39" s="221"/>
      <c r="CZ39" s="221"/>
      <c r="DA39" s="221"/>
      <c r="DB39" s="221"/>
      <c r="DC39" s="221"/>
      <c r="DD39" s="221"/>
      <c r="DE39" s="221"/>
      <c r="DF39" s="221"/>
      <c r="DG39" s="221"/>
      <c r="DH39" s="222"/>
      <c r="DI39" s="154">
        <f ca="1">IFERROR(INDEX(AWAKASH!BM$10:BN$40,MATCH(DJ39,AWAKASH!BN$10:BN$40,0),1),0)</f>
        <v>0</v>
      </c>
      <c r="DJ39" s="164">
        <f t="shared" ca="1" si="4"/>
        <v>43734</v>
      </c>
      <c r="DK39" s="165" t="str">
        <f t="shared" ca="1" si="21"/>
        <v>Thu</v>
      </c>
      <c r="DL39" s="166" t="str">
        <f t="shared" ca="1" si="22"/>
        <v>खिचड़ी-सब्जी</v>
      </c>
      <c r="DM39" s="227"/>
      <c r="DN39" s="228"/>
      <c r="DO39" s="229"/>
      <c r="DP39" s="229"/>
      <c r="DQ39" s="229"/>
      <c r="DR39" s="229"/>
      <c r="DS39" s="229"/>
      <c r="DT39" s="229"/>
      <c r="DU39" s="229"/>
      <c r="DV39" s="229"/>
      <c r="DW39" s="228"/>
      <c r="DX39" s="229"/>
      <c r="DY39" s="229"/>
      <c r="DZ39" s="229"/>
      <c r="EA39" s="229"/>
      <c r="EB39" s="229"/>
      <c r="EC39" s="229"/>
      <c r="ED39" s="229"/>
      <c r="EE39" s="229"/>
      <c r="EF39" s="229"/>
      <c r="EG39" s="230"/>
      <c r="EH39" s="154">
        <f ca="1">IFERROR(INDEX(AWAKASH!CA$10:CB$40,MATCH(EI39,AWAKASH!CB$10:CB$40,0),1),0)</f>
        <v>0</v>
      </c>
      <c r="EI39" s="167">
        <f t="shared" ca="1" si="5"/>
        <v>43764</v>
      </c>
      <c r="EJ39" s="168" t="str">
        <f t="shared" ca="1" si="23"/>
        <v>Sat</v>
      </c>
      <c r="EK39" s="169" t="str">
        <f t="shared" ca="1" si="24"/>
        <v>सब्जी-रोटी</v>
      </c>
      <c r="EL39" s="235"/>
      <c r="EM39" s="236"/>
      <c r="EN39" s="237"/>
      <c r="EO39" s="237"/>
      <c r="EP39" s="237"/>
      <c r="EQ39" s="237"/>
      <c r="ER39" s="237"/>
      <c r="ES39" s="237"/>
      <c r="ET39" s="237"/>
      <c r="EU39" s="237"/>
      <c r="EV39" s="236"/>
      <c r="EW39" s="237"/>
      <c r="EX39" s="237"/>
      <c r="EY39" s="237"/>
      <c r="EZ39" s="237"/>
      <c r="FA39" s="237"/>
      <c r="FB39" s="237"/>
      <c r="FC39" s="237"/>
      <c r="FD39" s="237"/>
      <c r="FE39" s="237"/>
      <c r="FF39" s="238"/>
      <c r="FG39" s="46">
        <f ca="1">IFERROR(INDEX(AWAKASH!FC$10:FD$40,MATCH(FH39,AWAKASH!FD$10:FD$40,0),1),0)</f>
        <v>0</v>
      </c>
      <c r="FH39" s="170">
        <f t="shared" ca="1" si="6"/>
        <v>43795</v>
      </c>
      <c r="FI39" s="171" t="str">
        <f t="shared" ca="1" si="25"/>
        <v>Tue</v>
      </c>
      <c r="FJ39" s="172" t="str">
        <f t="shared" ca="1" si="26"/>
        <v>दाल-चावल</v>
      </c>
      <c r="FK39" s="195"/>
      <c r="FL39" s="196"/>
      <c r="FM39" s="197"/>
      <c r="FN39" s="197"/>
      <c r="FO39" s="197"/>
      <c r="FP39" s="197"/>
      <c r="FQ39" s="197"/>
      <c r="FR39" s="197"/>
      <c r="FS39" s="197"/>
      <c r="FT39" s="197"/>
      <c r="FU39" s="196"/>
      <c r="FV39" s="197"/>
      <c r="FW39" s="197"/>
      <c r="FX39" s="197"/>
      <c r="FY39" s="197"/>
      <c r="FZ39" s="197"/>
      <c r="GA39" s="197"/>
      <c r="GB39" s="197"/>
      <c r="GC39" s="197"/>
      <c r="GD39" s="197"/>
      <c r="GE39" s="198"/>
      <c r="GF39" s="154">
        <f ca="1">IFERROR(INDEX(AWAKASH!FQ$10:FR$40,MATCH(GG39,AWAKASH!FR$10:FR$40,0),1),0)</f>
        <v>0</v>
      </c>
      <c r="GG39" s="155">
        <f t="shared" ca="1" si="7"/>
        <v>43825</v>
      </c>
      <c r="GH39" s="156" t="str">
        <f t="shared" ca="1" si="27"/>
        <v>Thu</v>
      </c>
      <c r="GI39" s="157" t="str">
        <f t="shared" ca="1" si="28"/>
        <v>खिचड़ी-सब्जी</v>
      </c>
      <c r="GJ39" s="203"/>
      <c r="GK39" s="204"/>
      <c r="GL39" s="205"/>
      <c r="GM39" s="205"/>
      <c r="GN39" s="205"/>
      <c r="GO39" s="205"/>
      <c r="GP39" s="205"/>
      <c r="GQ39" s="205"/>
      <c r="GR39" s="205"/>
      <c r="GS39" s="205"/>
      <c r="GT39" s="204"/>
      <c r="GU39" s="205"/>
      <c r="GV39" s="205"/>
      <c r="GW39" s="205"/>
      <c r="GX39" s="205"/>
      <c r="GY39" s="205"/>
      <c r="GZ39" s="205"/>
      <c r="HA39" s="205"/>
      <c r="HB39" s="205"/>
      <c r="HC39" s="205"/>
      <c r="HD39" s="206"/>
      <c r="HE39" s="154">
        <f ca="1">IFERROR(INDEX(AWAKASH!GE$10:GF$40,MATCH(HF39,AWAKASH!GF$10:GF$40,0),1),0)</f>
        <v>0</v>
      </c>
      <c r="HF39" s="158">
        <f t="shared" ca="1" si="8"/>
        <v>43856</v>
      </c>
      <c r="HG39" s="159" t="str">
        <f t="shared" ca="1" si="29"/>
        <v>Sun</v>
      </c>
      <c r="HH39" s="160">
        <f t="shared" ca="1" si="30"/>
        <v>0</v>
      </c>
      <c r="HI39" s="211"/>
      <c r="HJ39" s="212"/>
      <c r="HK39" s="213"/>
      <c r="HL39" s="213"/>
      <c r="HM39" s="213"/>
      <c r="HN39" s="213"/>
      <c r="HO39" s="213"/>
      <c r="HP39" s="213"/>
      <c r="HQ39" s="213"/>
      <c r="HR39" s="213"/>
      <c r="HS39" s="212"/>
      <c r="HT39" s="213"/>
      <c r="HU39" s="213"/>
      <c r="HV39" s="213"/>
      <c r="HW39" s="213"/>
      <c r="HX39" s="213"/>
      <c r="HY39" s="213"/>
      <c r="HZ39" s="213"/>
      <c r="IA39" s="213"/>
      <c r="IB39" s="213"/>
      <c r="IC39" s="214"/>
      <c r="ID39" s="154">
        <f ca="1">IFERROR(INDEX(AWAKASH!GS$10:GT$40,MATCH(IE39,AWAKASH!GT$10:GT$40,0),1),0)</f>
        <v>0</v>
      </c>
      <c r="IE39" s="161">
        <f t="shared" ca="1" si="9"/>
        <v>0</v>
      </c>
      <c r="IF39" s="162" t="str">
        <f t="shared" ca="1" si="31"/>
        <v/>
      </c>
      <c r="IG39" s="163" t="str">
        <f t="shared" ca="1" si="32"/>
        <v/>
      </c>
      <c r="IH39" s="219"/>
      <c r="II39" s="220"/>
      <c r="IJ39" s="221"/>
      <c r="IK39" s="221"/>
      <c r="IL39" s="221"/>
      <c r="IM39" s="221"/>
      <c r="IN39" s="221"/>
      <c r="IO39" s="221"/>
      <c r="IP39" s="221"/>
      <c r="IQ39" s="221"/>
      <c r="IR39" s="220"/>
      <c r="IS39" s="221"/>
      <c r="IT39" s="221"/>
      <c r="IU39" s="221"/>
      <c r="IV39" s="221"/>
      <c r="IW39" s="221"/>
      <c r="IX39" s="221"/>
      <c r="IY39" s="221"/>
      <c r="IZ39" s="221"/>
      <c r="JA39" s="221"/>
      <c r="JB39" s="222"/>
      <c r="JC39" s="154">
        <f ca="1">IFERROR(INDEX(AWAKASH!HG$10:HH$40,MATCH(JD39,AWAKASH!HH$10:HH$40,0),1),0)</f>
        <v>0</v>
      </c>
      <c r="JD39" s="164">
        <f t="shared" ca="1" si="10"/>
        <v>0</v>
      </c>
      <c r="JE39" s="165" t="str">
        <f t="shared" ca="1" si="33"/>
        <v/>
      </c>
      <c r="JF39" s="166" t="str">
        <f t="shared" ca="1" si="34"/>
        <v/>
      </c>
      <c r="JG39" s="227"/>
      <c r="JH39" s="228"/>
      <c r="JI39" s="229"/>
      <c r="JJ39" s="229"/>
      <c r="JK39" s="229"/>
      <c r="JL39" s="229"/>
      <c r="JM39" s="229"/>
      <c r="JN39" s="229"/>
      <c r="JO39" s="229"/>
      <c r="JP39" s="229"/>
      <c r="JQ39" s="228"/>
      <c r="JR39" s="229"/>
      <c r="JS39" s="229"/>
      <c r="JT39" s="229"/>
      <c r="JU39" s="229"/>
      <c r="JV39" s="229"/>
      <c r="JW39" s="229"/>
      <c r="JX39" s="229"/>
      <c r="JY39" s="229"/>
      <c r="JZ39" s="229"/>
      <c r="KA39" s="230"/>
      <c r="KB39" s="154">
        <f ca="1">IFERROR(INDEX(AWAKASH!HU$10:HV$40,MATCH(KC39,AWAKASH!HV$10:HV$40,0),1),0)</f>
        <v>0</v>
      </c>
      <c r="KC39" s="167">
        <f t="shared" ca="1" si="11"/>
        <v>0</v>
      </c>
      <c r="KD39" s="168" t="str">
        <f t="shared" ca="1" si="35"/>
        <v/>
      </c>
      <c r="KE39" s="169" t="str">
        <f t="shared" ca="1" si="36"/>
        <v/>
      </c>
      <c r="KF39" s="235"/>
      <c r="KG39" s="236"/>
      <c r="KH39" s="237"/>
      <c r="KI39" s="237"/>
      <c r="KJ39" s="237"/>
      <c r="KK39" s="237"/>
      <c r="KL39" s="237"/>
      <c r="KM39" s="237"/>
      <c r="KN39" s="237"/>
      <c r="KO39" s="237"/>
      <c r="KP39" s="236"/>
      <c r="KQ39" s="237"/>
      <c r="KR39" s="237"/>
      <c r="KS39" s="237"/>
      <c r="KT39" s="237"/>
      <c r="KU39" s="237"/>
      <c r="KV39" s="237"/>
      <c r="KW39" s="237"/>
      <c r="KX39" s="237"/>
      <c r="KY39" s="237"/>
      <c r="KZ39" s="238"/>
      <c r="LA39" s="46"/>
    </row>
    <row r="40" spans="1:313" ht="20.100000000000001" customHeight="1" x14ac:dyDescent="0.25">
      <c r="A40" s="3">
        <v>27</v>
      </c>
      <c r="M40" s="46">
        <f ca="1">IFERROR(INDEX(AWAKASH!I$10:J$40,MATCH(N40,AWAKASH!J$10:J$40,0),1),0)</f>
        <v>0</v>
      </c>
      <c r="N40" s="170">
        <f t="shared" ca="1" si="0"/>
        <v>43612</v>
      </c>
      <c r="O40" s="171" t="str">
        <f t="shared" ca="1" si="13"/>
        <v>Mon</v>
      </c>
      <c r="P40" s="172" t="str">
        <f t="shared" ca="1" si="14"/>
        <v>सब्जी-रोटी</v>
      </c>
      <c r="Q40" s="195"/>
      <c r="R40" s="196"/>
      <c r="S40" s="193"/>
      <c r="T40" s="197"/>
      <c r="U40" s="197"/>
      <c r="V40" s="197"/>
      <c r="W40" s="197"/>
      <c r="X40" s="197"/>
      <c r="Y40" s="197"/>
      <c r="Z40" s="197"/>
      <c r="AA40" s="196"/>
      <c r="AB40" s="197"/>
      <c r="AC40" s="197"/>
      <c r="AD40" s="197"/>
      <c r="AE40" s="197"/>
      <c r="AF40" s="197"/>
      <c r="AG40" s="197"/>
      <c r="AH40" s="197"/>
      <c r="AI40" s="197"/>
      <c r="AJ40" s="197"/>
      <c r="AK40" s="198"/>
      <c r="AL40" s="154">
        <f ca="1">IFERROR(INDEX(AWAKASH!W$10:X$40,MATCH(AM40,AWAKASH!X$10:X$40,0),1),0)</f>
        <v>0</v>
      </c>
      <c r="AM40" s="155">
        <f t="shared" ca="1" si="1"/>
        <v>43643</v>
      </c>
      <c r="AN40" s="156" t="str">
        <f t="shared" ca="1" si="15"/>
        <v>Thu</v>
      </c>
      <c r="AO40" s="157" t="str">
        <f t="shared" ca="1" si="16"/>
        <v>खिचड़ी-सब्जी</v>
      </c>
      <c r="AP40" s="203"/>
      <c r="AQ40" s="204"/>
      <c r="AR40" s="205"/>
      <c r="AS40" s="205"/>
      <c r="AT40" s="205"/>
      <c r="AU40" s="205"/>
      <c r="AV40" s="205"/>
      <c r="AW40" s="205"/>
      <c r="AX40" s="205"/>
      <c r="AY40" s="205"/>
      <c r="AZ40" s="204"/>
      <c r="BA40" s="205"/>
      <c r="BB40" s="205"/>
      <c r="BC40" s="205"/>
      <c r="BD40" s="205"/>
      <c r="BE40" s="205"/>
      <c r="BF40" s="205"/>
      <c r="BG40" s="205"/>
      <c r="BH40" s="205"/>
      <c r="BI40" s="205"/>
      <c r="BJ40" s="206"/>
      <c r="BK40" s="154">
        <f ca="1">IFERROR(INDEX(AWAKASH!AK$10:AL$40,MATCH(BL40,AWAKASH!AL$10:AL$40,0),1),0)</f>
        <v>0</v>
      </c>
      <c r="BL40" s="158">
        <f t="shared" ca="1" si="2"/>
        <v>43673</v>
      </c>
      <c r="BM40" s="159" t="str">
        <f t="shared" ca="1" si="17"/>
        <v>Sat</v>
      </c>
      <c r="BN40" s="160" t="str">
        <f t="shared" ca="1" si="18"/>
        <v>सब्जी-रोटी</v>
      </c>
      <c r="BO40" s="211"/>
      <c r="BP40" s="212"/>
      <c r="BQ40" s="213"/>
      <c r="BR40" s="213"/>
      <c r="BS40" s="213"/>
      <c r="BT40" s="213"/>
      <c r="BU40" s="213"/>
      <c r="BV40" s="213"/>
      <c r="BW40" s="213"/>
      <c r="BX40" s="213"/>
      <c r="BY40" s="212"/>
      <c r="BZ40" s="213"/>
      <c r="CA40" s="213"/>
      <c r="CB40" s="213"/>
      <c r="CC40" s="213"/>
      <c r="CD40" s="213"/>
      <c r="CE40" s="213"/>
      <c r="CF40" s="213"/>
      <c r="CG40" s="213"/>
      <c r="CH40" s="213"/>
      <c r="CI40" s="214"/>
      <c r="CJ40" s="154">
        <f ca="1">IFERROR(INDEX(AWAKASH!AY$10:AZ$40,MATCH(CK40,AWAKASH!AZ$10:AZ$40,0),1),0)</f>
        <v>0</v>
      </c>
      <c r="CK40" s="161">
        <f t="shared" ca="1" si="3"/>
        <v>43704</v>
      </c>
      <c r="CL40" s="162" t="str">
        <f t="shared" ca="1" si="19"/>
        <v>Tue</v>
      </c>
      <c r="CM40" s="163" t="str">
        <f t="shared" ca="1" si="20"/>
        <v>दाल-चावल</v>
      </c>
      <c r="CN40" s="219"/>
      <c r="CO40" s="220"/>
      <c r="CP40" s="221"/>
      <c r="CQ40" s="221"/>
      <c r="CR40" s="221"/>
      <c r="CS40" s="221"/>
      <c r="CT40" s="221"/>
      <c r="CU40" s="221"/>
      <c r="CV40" s="221"/>
      <c r="CW40" s="221"/>
      <c r="CX40" s="220"/>
      <c r="CY40" s="221"/>
      <c r="CZ40" s="221"/>
      <c r="DA40" s="221"/>
      <c r="DB40" s="221"/>
      <c r="DC40" s="221"/>
      <c r="DD40" s="221"/>
      <c r="DE40" s="221"/>
      <c r="DF40" s="221"/>
      <c r="DG40" s="221"/>
      <c r="DH40" s="222"/>
      <c r="DI40" s="154">
        <f ca="1">IFERROR(INDEX(AWAKASH!BM$10:BN$40,MATCH(DJ40,AWAKASH!BN$10:BN$40,0),1),0)</f>
        <v>0</v>
      </c>
      <c r="DJ40" s="164">
        <f t="shared" ca="1" si="4"/>
        <v>43735</v>
      </c>
      <c r="DK40" s="165" t="str">
        <f t="shared" ca="1" si="21"/>
        <v>Fri</v>
      </c>
      <c r="DL40" s="166" t="str">
        <f t="shared" ca="1" si="22"/>
        <v>दाल-रोटी</v>
      </c>
      <c r="DM40" s="227"/>
      <c r="DN40" s="228"/>
      <c r="DO40" s="229"/>
      <c r="DP40" s="229"/>
      <c r="DQ40" s="229"/>
      <c r="DR40" s="229"/>
      <c r="DS40" s="229"/>
      <c r="DT40" s="229"/>
      <c r="DU40" s="229"/>
      <c r="DV40" s="229"/>
      <c r="DW40" s="228"/>
      <c r="DX40" s="229"/>
      <c r="DY40" s="229"/>
      <c r="DZ40" s="229"/>
      <c r="EA40" s="229"/>
      <c r="EB40" s="229"/>
      <c r="EC40" s="229"/>
      <c r="ED40" s="229"/>
      <c r="EE40" s="229"/>
      <c r="EF40" s="229"/>
      <c r="EG40" s="230"/>
      <c r="EH40" s="154">
        <f ca="1">IFERROR(INDEX(AWAKASH!CA$10:CB$40,MATCH(EI40,AWAKASH!CB$10:CB$40,0),1),0)</f>
        <v>0</v>
      </c>
      <c r="EI40" s="167">
        <f t="shared" ca="1" si="5"/>
        <v>43765</v>
      </c>
      <c r="EJ40" s="168" t="str">
        <f t="shared" ca="1" si="23"/>
        <v>Sun</v>
      </c>
      <c r="EK40" s="169">
        <f t="shared" ca="1" si="24"/>
        <v>0</v>
      </c>
      <c r="EL40" s="235"/>
      <c r="EM40" s="236"/>
      <c r="EN40" s="237"/>
      <c r="EO40" s="237"/>
      <c r="EP40" s="237"/>
      <c r="EQ40" s="237"/>
      <c r="ER40" s="237"/>
      <c r="ES40" s="237"/>
      <c r="ET40" s="237"/>
      <c r="EU40" s="237"/>
      <c r="EV40" s="236"/>
      <c r="EW40" s="237"/>
      <c r="EX40" s="237"/>
      <c r="EY40" s="237"/>
      <c r="EZ40" s="237"/>
      <c r="FA40" s="237"/>
      <c r="FB40" s="237"/>
      <c r="FC40" s="237"/>
      <c r="FD40" s="237"/>
      <c r="FE40" s="237"/>
      <c r="FF40" s="238"/>
      <c r="FG40" s="46">
        <f ca="1">IFERROR(INDEX(AWAKASH!FC$10:FD$40,MATCH(FH40,AWAKASH!FD$10:FD$40,0),1),0)</f>
        <v>0</v>
      </c>
      <c r="FH40" s="170">
        <f t="shared" ca="1" si="6"/>
        <v>43796</v>
      </c>
      <c r="FI40" s="171" t="str">
        <f t="shared" ca="1" si="25"/>
        <v>Wed</v>
      </c>
      <c r="FJ40" s="172" t="str">
        <f t="shared" ca="1" si="26"/>
        <v>दाल-रोटी</v>
      </c>
      <c r="FK40" s="195"/>
      <c r="FL40" s="196"/>
      <c r="FM40" s="197"/>
      <c r="FN40" s="197"/>
      <c r="FO40" s="197"/>
      <c r="FP40" s="197"/>
      <c r="FQ40" s="197"/>
      <c r="FR40" s="197"/>
      <c r="FS40" s="197"/>
      <c r="FT40" s="197"/>
      <c r="FU40" s="196"/>
      <c r="FV40" s="197"/>
      <c r="FW40" s="197"/>
      <c r="FX40" s="197"/>
      <c r="FY40" s="197"/>
      <c r="FZ40" s="197"/>
      <c r="GA40" s="197"/>
      <c r="GB40" s="197"/>
      <c r="GC40" s="197"/>
      <c r="GD40" s="197"/>
      <c r="GE40" s="198"/>
      <c r="GF40" s="154">
        <f ca="1">IFERROR(INDEX(AWAKASH!FQ$10:FR$40,MATCH(GG40,AWAKASH!FR$10:FR$40,0),1),0)</f>
        <v>0</v>
      </c>
      <c r="GG40" s="155">
        <f t="shared" ca="1" si="7"/>
        <v>43826</v>
      </c>
      <c r="GH40" s="156" t="str">
        <f t="shared" ca="1" si="27"/>
        <v>Fri</v>
      </c>
      <c r="GI40" s="157" t="str">
        <f t="shared" ca="1" si="28"/>
        <v>दाल-रोटी</v>
      </c>
      <c r="GJ40" s="203"/>
      <c r="GK40" s="204"/>
      <c r="GL40" s="205"/>
      <c r="GM40" s="205"/>
      <c r="GN40" s="205"/>
      <c r="GO40" s="205"/>
      <c r="GP40" s="205"/>
      <c r="GQ40" s="205"/>
      <c r="GR40" s="205"/>
      <c r="GS40" s="205"/>
      <c r="GT40" s="204"/>
      <c r="GU40" s="205"/>
      <c r="GV40" s="205"/>
      <c r="GW40" s="205"/>
      <c r="GX40" s="205"/>
      <c r="GY40" s="205"/>
      <c r="GZ40" s="205"/>
      <c r="HA40" s="205"/>
      <c r="HB40" s="205"/>
      <c r="HC40" s="205"/>
      <c r="HD40" s="206"/>
      <c r="HE40" s="154">
        <f ca="1">IFERROR(INDEX(AWAKASH!GE$10:GF$40,MATCH(HF40,AWAKASH!GF$10:GF$40,0),1),0)</f>
        <v>0</v>
      </c>
      <c r="HF40" s="158">
        <f t="shared" ca="1" si="8"/>
        <v>0</v>
      </c>
      <c r="HG40" s="159" t="str">
        <f t="shared" ca="1" si="29"/>
        <v/>
      </c>
      <c r="HH40" s="160" t="str">
        <f t="shared" ca="1" si="30"/>
        <v/>
      </c>
      <c r="HI40" s="211"/>
      <c r="HJ40" s="212"/>
      <c r="HK40" s="213"/>
      <c r="HL40" s="213"/>
      <c r="HM40" s="213"/>
      <c r="HN40" s="213"/>
      <c r="HO40" s="213"/>
      <c r="HP40" s="213"/>
      <c r="HQ40" s="213"/>
      <c r="HR40" s="213"/>
      <c r="HS40" s="212"/>
      <c r="HT40" s="213"/>
      <c r="HU40" s="213"/>
      <c r="HV40" s="213"/>
      <c r="HW40" s="213"/>
      <c r="HX40" s="213"/>
      <c r="HY40" s="213"/>
      <c r="HZ40" s="213"/>
      <c r="IA40" s="213"/>
      <c r="IB40" s="213"/>
      <c r="IC40" s="214"/>
      <c r="ID40" s="154">
        <f ca="1">IFERROR(INDEX(AWAKASH!GS$10:GT$40,MATCH(IE40,AWAKASH!GT$10:GT$40,0),1),0)</f>
        <v>0</v>
      </c>
      <c r="IE40" s="161">
        <f t="shared" ca="1" si="9"/>
        <v>0</v>
      </c>
      <c r="IF40" s="162" t="str">
        <f t="shared" ca="1" si="31"/>
        <v/>
      </c>
      <c r="IG40" s="163" t="str">
        <f t="shared" ca="1" si="32"/>
        <v/>
      </c>
      <c r="IH40" s="219"/>
      <c r="II40" s="220"/>
      <c r="IJ40" s="221"/>
      <c r="IK40" s="221"/>
      <c r="IL40" s="221"/>
      <c r="IM40" s="221"/>
      <c r="IN40" s="221"/>
      <c r="IO40" s="221"/>
      <c r="IP40" s="221"/>
      <c r="IQ40" s="221"/>
      <c r="IR40" s="220"/>
      <c r="IS40" s="221"/>
      <c r="IT40" s="221"/>
      <c r="IU40" s="221"/>
      <c r="IV40" s="221"/>
      <c r="IW40" s="221"/>
      <c r="IX40" s="221"/>
      <c r="IY40" s="221"/>
      <c r="IZ40" s="221"/>
      <c r="JA40" s="221"/>
      <c r="JB40" s="222"/>
      <c r="JC40" s="154">
        <f ca="1">IFERROR(INDEX(AWAKASH!HG$10:HH$40,MATCH(JD40,AWAKASH!HH$10:HH$40,0),1),0)</f>
        <v>0</v>
      </c>
      <c r="JD40" s="164">
        <f t="shared" ca="1" si="10"/>
        <v>0</v>
      </c>
      <c r="JE40" s="165" t="str">
        <f t="shared" ca="1" si="33"/>
        <v/>
      </c>
      <c r="JF40" s="166" t="str">
        <f t="shared" ca="1" si="34"/>
        <v/>
      </c>
      <c r="JG40" s="227"/>
      <c r="JH40" s="228"/>
      <c r="JI40" s="229"/>
      <c r="JJ40" s="229"/>
      <c r="JK40" s="229"/>
      <c r="JL40" s="229"/>
      <c r="JM40" s="229"/>
      <c r="JN40" s="229"/>
      <c r="JO40" s="229"/>
      <c r="JP40" s="229"/>
      <c r="JQ40" s="228"/>
      <c r="JR40" s="229"/>
      <c r="JS40" s="229"/>
      <c r="JT40" s="229"/>
      <c r="JU40" s="229"/>
      <c r="JV40" s="229"/>
      <c r="JW40" s="229"/>
      <c r="JX40" s="229"/>
      <c r="JY40" s="229"/>
      <c r="JZ40" s="229"/>
      <c r="KA40" s="230"/>
      <c r="KB40" s="154">
        <f ca="1">IFERROR(INDEX(AWAKASH!HU$10:HV$40,MATCH(KC40,AWAKASH!HV$10:HV$40,0),1),0)</f>
        <v>0</v>
      </c>
      <c r="KC40" s="167">
        <f t="shared" ca="1" si="11"/>
        <v>0</v>
      </c>
      <c r="KD40" s="168" t="str">
        <f t="shared" ca="1" si="35"/>
        <v/>
      </c>
      <c r="KE40" s="169" t="str">
        <f t="shared" ca="1" si="36"/>
        <v/>
      </c>
      <c r="KF40" s="235"/>
      <c r="KG40" s="236"/>
      <c r="KH40" s="237"/>
      <c r="KI40" s="237"/>
      <c r="KJ40" s="237"/>
      <c r="KK40" s="237"/>
      <c r="KL40" s="237"/>
      <c r="KM40" s="237"/>
      <c r="KN40" s="237"/>
      <c r="KO40" s="237"/>
      <c r="KP40" s="236"/>
      <c r="KQ40" s="237"/>
      <c r="KR40" s="237"/>
      <c r="KS40" s="237"/>
      <c r="KT40" s="237"/>
      <c r="KU40" s="237"/>
      <c r="KV40" s="237"/>
      <c r="KW40" s="237"/>
      <c r="KX40" s="237"/>
      <c r="KY40" s="237"/>
      <c r="KZ40" s="238"/>
      <c r="LA40" s="46"/>
    </row>
    <row r="41" spans="1:313" ht="20.100000000000001" customHeight="1" x14ac:dyDescent="0.25">
      <c r="A41" s="3">
        <v>28</v>
      </c>
      <c r="M41" s="46">
        <f ca="1">IFERROR(INDEX(AWAKASH!I$10:J$40,MATCH(N41,AWAKASH!J$10:J$40,0),1),0)</f>
        <v>0</v>
      </c>
      <c r="N41" s="170">
        <f t="shared" ca="1" si="0"/>
        <v>43613</v>
      </c>
      <c r="O41" s="171" t="str">
        <f t="shared" ca="1" si="13"/>
        <v>Tue</v>
      </c>
      <c r="P41" s="172" t="str">
        <f t="shared" ca="1" si="14"/>
        <v>दाल-चावल</v>
      </c>
      <c r="Q41" s="195"/>
      <c r="R41" s="196"/>
      <c r="S41" s="193"/>
      <c r="T41" s="197"/>
      <c r="U41" s="197"/>
      <c r="V41" s="197"/>
      <c r="W41" s="197"/>
      <c r="X41" s="197"/>
      <c r="Y41" s="197"/>
      <c r="Z41" s="197"/>
      <c r="AA41" s="196"/>
      <c r="AB41" s="197"/>
      <c r="AC41" s="197"/>
      <c r="AD41" s="197"/>
      <c r="AE41" s="197"/>
      <c r="AF41" s="197"/>
      <c r="AG41" s="197"/>
      <c r="AH41" s="197"/>
      <c r="AI41" s="197"/>
      <c r="AJ41" s="197"/>
      <c r="AK41" s="198"/>
      <c r="AL41" s="154">
        <f ca="1">IFERROR(INDEX(AWAKASH!W$10:X$40,MATCH(AM41,AWAKASH!X$10:X$40,0),1),0)</f>
        <v>0</v>
      </c>
      <c r="AM41" s="155">
        <f t="shared" ca="1" si="1"/>
        <v>43644</v>
      </c>
      <c r="AN41" s="156" t="str">
        <f t="shared" ca="1" si="15"/>
        <v>Fri</v>
      </c>
      <c r="AO41" s="157" t="str">
        <f t="shared" ca="1" si="16"/>
        <v>दाल-रोटी</v>
      </c>
      <c r="AP41" s="203"/>
      <c r="AQ41" s="204"/>
      <c r="AR41" s="205"/>
      <c r="AS41" s="205"/>
      <c r="AT41" s="205"/>
      <c r="AU41" s="205"/>
      <c r="AV41" s="205"/>
      <c r="AW41" s="205"/>
      <c r="AX41" s="205"/>
      <c r="AY41" s="205"/>
      <c r="AZ41" s="204"/>
      <c r="BA41" s="205"/>
      <c r="BB41" s="205"/>
      <c r="BC41" s="205"/>
      <c r="BD41" s="205"/>
      <c r="BE41" s="205"/>
      <c r="BF41" s="205"/>
      <c r="BG41" s="205"/>
      <c r="BH41" s="205"/>
      <c r="BI41" s="205"/>
      <c r="BJ41" s="206"/>
      <c r="BK41" s="154">
        <f ca="1">IFERROR(INDEX(AWAKASH!AK$10:AL$40,MATCH(BL41,AWAKASH!AL$10:AL$40,0),1),0)</f>
        <v>0</v>
      </c>
      <c r="BL41" s="158">
        <f t="shared" ca="1" si="2"/>
        <v>43674</v>
      </c>
      <c r="BM41" s="159" t="str">
        <f t="shared" ca="1" si="17"/>
        <v>Sun</v>
      </c>
      <c r="BN41" s="160">
        <f t="shared" ca="1" si="18"/>
        <v>0</v>
      </c>
      <c r="BO41" s="211"/>
      <c r="BP41" s="212"/>
      <c r="BQ41" s="213"/>
      <c r="BR41" s="213"/>
      <c r="BS41" s="213"/>
      <c r="BT41" s="213"/>
      <c r="BU41" s="213"/>
      <c r="BV41" s="213"/>
      <c r="BW41" s="213"/>
      <c r="BX41" s="213"/>
      <c r="BY41" s="212"/>
      <c r="BZ41" s="213"/>
      <c r="CA41" s="213"/>
      <c r="CB41" s="213"/>
      <c r="CC41" s="213"/>
      <c r="CD41" s="213"/>
      <c r="CE41" s="213"/>
      <c r="CF41" s="213"/>
      <c r="CG41" s="213"/>
      <c r="CH41" s="213"/>
      <c r="CI41" s="214"/>
      <c r="CJ41" s="154">
        <f ca="1">IFERROR(INDEX(AWAKASH!AY$10:AZ$40,MATCH(CK41,AWAKASH!AZ$10:AZ$40,0),1),0)</f>
        <v>0</v>
      </c>
      <c r="CK41" s="161">
        <f t="shared" ca="1" si="3"/>
        <v>43705</v>
      </c>
      <c r="CL41" s="162" t="str">
        <f t="shared" ca="1" si="19"/>
        <v>Wed</v>
      </c>
      <c r="CM41" s="163" t="str">
        <f t="shared" ca="1" si="20"/>
        <v>दाल-रोटी</v>
      </c>
      <c r="CN41" s="219"/>
      <c r="CO41" s="220"/>
      <c r="CP41" s="221"/>
      <c r="CQ41" s="221"/>
      <c r="CR41" s="221"/>
      <c r="CS41" s="221"/>
      <c r="CT41" s="221"/>
      <c r="CU41" s="221"/>
      <c r="CV41" s="221"/>
      <c r="CW41" s="221"/>
      <c r="CX41" s="220"/>
      <c r="CY41" s="221"/>
      <c r="CZ41" s="221"/>
      <c r="DA41" s="221"/>
      <c r="DB41" s="221"/>
      <c r="DC41" s="221"/>
      <c r="DD41" s="221"/>
      <c r="DE41" s="221"/>
      <c r="DF41" s="221"/>
      <c r="DG41" s="221"/>
      <c r="DH41" s="222"/>
      <c r="DI41" s="154">
        <f ca="1">IFERROR(INDEX(AWAKASH!BM$10:BN$40,MATCH(DJ41,AWAKASH!BN$10:BN$40,0),1),0)</f>
        <v>0</v>
      </c>
      <c r="DJ41" s="164">
        <f t="shared" ca="1" si="4"/>
        <v>43736</v>
      </c>
      <c r="DK41" s="165" t="str">
        <f t="shared" ca="1" si="21"/>
        <v>Sat</v>
      </c>
      <c r="DL41" s="166" t="str">
        <f t="shared" ca="1" si="22"/>
        <v>सब्जी-रोटी</v>
      </c>
      <c r="DM41" s="227"/>
      <c r="DN41" s="228"/>
      <c r="DO41" s="229"/>
      <c r="DP41" s="229"/>
      <c r="DQ41" s="229"/>
      <c r="DR41" s="229"/>
      <c r="DS41" s="229"/>
      <c r="DT41" s="229"/>
      <c r="DU41" s="229"/>
      <c r="DV41" s="229"/>
      <c r="DW41" s="228"/>
      <c r="DX41" s="229"/>
      <c r="DY41" s="229"/>
      <c r="DZ41" s="229"/>
      <c r="EA41" s="229"/>
      <c r="EB41" s="229"/>
      <c r="EC41" s="229"/>
      <c r="ED41" s="229"/>
      <c r="EE41" s="229"/>
      <c r="EF41" s="229"/>
      <c r="EG41" s="230"/>
      <c r="EH41" s="154">
        <f ca="1">IFERROR(INDEX(AWAKASH!CA$10:CB$40,MATCH(EI41,AWAKASH!CB$10:CB$40,0),1),0)</f>
        <v>0</v>
      </c>
      <c r="EI41" s="167">
        <f t="shared" ca="1" si="5"/>
        <v>43766</v>
      </c>
      <c r="EJ41" s="168" t="str">
        <f t="shared" ca="1" si="23"/>
        <v>Mon</v>
      </c>
      <c r="EK41" s="169" t="str">
        <f t="shared" ca="1" si="24"/>
        <v>सब्जी-रोटी</v>
      </c>
      <c r="EL41" s="235"/>
      <c r="EM41" s="236"/>
      <c r="EN41" s="237"/>
      <c r="EO41" s="237"/>
      <c r="EP41" s="237"/>
      <c r="EQ41" s="237"/>
      <c r="ER41" s="237"/>
      <c r="ES41" s="237"/>
      <c r="ET41" s="237"/>
      <c r="EU41" s="237"/>
      <c r="EV41" s="236"/>
      <c r="EW41" s="237"/>
      <c r="EX41" s="237"/>
      <c r="EY41" s="237"/>
      <c r="EZ41" s="237"/>
      <c r="FA41" s="237"/>
      <c r="FB41" s="237"/>
      <c r="FC41" s="237"/>
      <c r="FD41" s="237"/>
      <c r="FE41" s="237"/>
      <c r="FF41" s="238"/>
      <c r="FG41" s="46">
        <f ca="1">IFERROR(INDEX(AWAKASH!FC$10:FD$40,MATCH(FH41,AWAKASH!FD$10:FD$40,0),1),0)</f>
        <v>0</v>
      </c>
      <c r="FH41" s="170">
        <f t="shared" ca="1" si="6"/>
        <v>43797</v>
      </c>
      <c r="FI41" s="171" t="str">
        <f t="shared" ca="1" si="25"/>
        <v>Thu</v>
      </c>
      <c r="FJ41" s="172" t="str">
        <f t="shared" ca="1" si="26"/>
        <v>खिचड़ी-सब्जी</v>
      </c>
      <c r="FK41" s="195"/>
      <c r="FL41" s="196"/>
      <c r="FM41" s="197"/>
      <c r="FN41" s="197"/>
      <c r="FO41" s="197"/>
      <c r="FP41" s="197"/>
      <c r="FQ41" s="197"/>
      <c r="FR41" s="197"/>
      <c r="FS41" s="197"/>
      <c r="FT41" s="197"/>
      <c r="FU41" s="196"/>
      <c r="FV41" s="197"/>
      <c r="FW41" s="197"/>
      <c r="FX41" s="197"/>
      <c r="FY41" s="197"/>
      <c r="FZ41" s="197"/>
      <c r="GA41" s="197"/>
      <c r="GB41" s="197"/>
      <c r="GC41" s="197"/>
      <c r="GD41" s="197"/>
      <c r="GE41" s="198"/>
      <c r="GF41" s="154">
        <f ca="1">IFERROR(INDEX(AWAKASH!FQ$10:FR$40,MATCH(GG41,AWAKASH!FR$10:FR$40,0),1),0)</f>
        <v>0</v>
      </c>
      <c r="GG41" s="155">
        <f t="shared" ca="1" si="7"/>
        <v>43827</v>
      </c>
      <c r="GH41" s="156" t="str">
        <f t="shared" ca="1" si="27"/>
        <v>Sat</v>
      </c>
      <c r="GI41" s="157" t="str">
        <f t="shared" ca="1" si="28"/>
        <v>सब्जी-रोटी</v>
      </c>
      <c r="GJ41" s="203"/>
      <c r="GK41" s="204"/>
      <c r="GL41" s="205"/>
      <c r="GM41" s="205"/>
      <c r="GN41" s="205"/>
      <c r="GO41" s="205"/>
      <c r="GP41" s="205"/>
      <c r="GQ41" s="205"/>
      <c r="GR41" s="205"/>
      <c r="GS41" s="205"/>
      <c r="GT41" s="204"/>
      <c r="GU41" s="205"/>
      <c r="GV41" s="205"/>
      <c r="GW41" s="205"/>
      <c r="GX41" s="205"/>
      <c r="GY41" s="205"/>
      <c r="GZ41" s="205"/>
      <c r="HA41" s="205"/>
      <c r="HB41" s="205"/>
      <c r="HC41" s="205"/>
      <c r="HD41" s="206"/>
      <c r="HE41" s="154">
        <f ca="1">IFERROR(INDEX(AWAKASH!GE$10:GF$40,MATCH(HF41,AWAKASH!GF$10:GF$40,0),1),0)</f>
        <v>0</v>
      </c>
      <c r="HF41" s="158">
        <f t="shared" ca="1" si="8"/>
        <v>0</v>
      </c>
      <c r="HG41" s="159" t="str">
        <f t="shared" ca="1" si="29"/>
        <v/>
      </c>
      <c r="HH41" s="160" t="str">
        <f t="shared" ca="1" si="30"/>
        <v/>
      </c>
      <c r="HI41" s="211"/>
      <c r="HJ41" s="212"/>
      <c r="HK41" s="213"/>
      <c r="HL41" s="213"/>
      <c r="HM41" s="213"/>
      <c r="HN41" s="213"/>
      <c r="HO41" s="213"/>
      <c r="HP41" s="213"/>
      <c r="HQ41" s="213"/>
      <c r="HR41" s="213"/>
      <c r="HS41" s="212"/>
      <c r="HT41" s="213"/>
      <c r="HU41" s="213"/>
      <c r="HV41" s="213"/>
      <c r="HW41" s="213"/>
      <c r="HX41" s="213"/>
      <c r="HY41" s="213"/>
      <c r="HZ41" s="213"/>
      <c r="IA41" s="213"/>
      <c r="IB41" s="213"/>
      <c r="IC41" s="214"/>
      <c r="ID41" s="154">
        <f ca="1">IFERROR(INDEX(AWAKASH!GS$10:GT$40,MATCH(IE41,AWAKASH!GT$10:GT$40,0),1),0)</f>
        <v>0</v>
      </c>
      <c r="IE41" s="161">
        <f t="shared" ca="1" si="9"/>
        <v>0</v>
      </c>
      <c r="IF41" s="162" t="str">
        <f t="shared" ca="1" si="31"/>
        <v/>
      </c>
      <c r="IG41" s="163" t="str">
        <f t="shared" ca="1" si="32"/>
        <v/>
      </c>
      <c r="IH41" s="219"/>
      <c r="II41" s="220"/>
      <c r="IJ41" s="221"/>
      <c r="IK41" s="221"/>
      <c r="IL41" s="221"/>
      <c r="IM41" s="221"/>
      <c r="IN41" s="221"/>
      <c r="IO41" s="221"/>
      <c r="IP41" s="221"/>
      <c r="IQ41" s="221"/>
      <c r="IR41" s="220"/>
      <c r="IS41" s="221"/>
      <c r="IT41" s="221"/>
      <c r="IU41" s="221"/>
      <c r="IV41" s="221"/>
      <c r="IW41" s="221"/>
      <c r="IX41" s="221"/>
      <c r="IY41" s="221"/>
      <c r="IZ41" s="221"/>
      <c r="JA41" s="221"/>
      <c r="JB41" s="222"/>
      <c r="JC41" s="154">
        <f ca="1">IFERROR(INDEX(AWAKASH!HG$10:HH$40,MATCH(JD41,AWAKASH!HH$10:HH$40,0),1),0)</f>
        <v>0</v>
      </c>
      <c r="JD41" s="164">
        <f t="shared" ca="1" si="10"/>
        <v>0</v>
      </c>
      <c r="JE41" s="165" t="str">
        <f t="shared" ca="1" si="33"/>
        <v/>
      </c>
      <c r="JF41" s="166" t="str">
        <f t="shared" ca="1" si="34"/>
        <v/>
      </c>
      <c r="JG41" s="227"/>
      <c r="JH41" s="228"/>
      <c r="JI41" s="229"/>
      <c r="JJ41" s="229"/>
      <c r="JK41" s="229"/>
      <c r="JL41" s="229"/>
      <c r="JM41" s="229"/>
      <c r="JN41" s="229"/>
      <c r="JO41" s="229"/>
      <c r="JP41" s="229"/>
      <c r="JQ41" s="228"/>
      <c r="JR41" s="229"/>
      <c r="JS41" s="229"/>
      <c r="JT41" s="229"/>
      <c r="JU41" s="229"/>
      <c r="JV41" s="229"/>
      <c r="JW41" s="229"/>
      <c r="JX41" s="229"/>
      <c r="JY41" s="229"/>
      <c r="JZ41" s="229"/>
      <c r="KA41" s="230"/>
      <c r="KB41" s="154">
        <f ca="1">IFERROR(INDEX(AWAKASH!HU$10:HV$40,MATCH(KC41,AWAKASH!HV$10:HV$40,0),1),0)</f>
        <v>0</v>
      </c>
      <c r="KC41" s="167">
        <f t="shared" ca="1" si="11"/>
        <v>0</v>
      </c>
      <c r="KD41" s="168" t="str">
        <f t="shared" ca="1" si="35"/>
        <v/>
      </c>
      <c r="KE41" s="169" t="str">
        <f t="shared" ca="1" si="36"/>
        <v/>
      </c>
      <c r="KF41" s="235"/>
      <c r="KG41" s="236"/>
      <c r="KH41" s="237"/>
      <c r="KI41" s="237"/>
      <c r="KJ41" s="237"/>
      <c r="KK41" s="237"/>
      <c r="KL41" s="237"/>
      <c r="KM41" s="237"/>
      <c r="KN41" s="237"/>
      <c r="KO41" s="237"/>
      <c r="KP41" s="236"/>
      <c r="KQ41" s="237"/>
      <c r="KR41" s="237"/>
      <c r="KS41" s="237"/>
      <c r="KT41" s="237"/>
      <c r="KU41" s="237"/>
      <c r="KV41" s="237"/>
      <c r="KW41" s="237"/>
      <c r="KX41" s="237"/>
      <c r="KY41" s="237"/>
      <c r="KZ41" s="238"/>
      <c r="LA41" s="46"/>
    </row>
    <row r="42" spans="1:313" ht="20.100000000000001" customHeight="1" x14ac:dyDescent="0.25">
      <c r="A42" s="3">
        <v>29</v>
      </c>
      <c r="M42" s="46">
        <f ca="1">IFERROR(INDEX(AWAKASH!I$10:J$40,MATCH(N42,AWAKASH!J$10:J$40,0),1),0)</f>
        <v>0</v>
      </c>
      <c r="N42" s="170">
        <f t="shared" ca="1" si="0"/>
        <v>43614</v>
      </c>
      <c r="O42" s="171" t="str">
        <f t="shared" ca="1" si="13"/>
        <v>Wed</v>
      </c>
      <c r="P42" s="172" t="str">
        <f t="shared" ca="1" si="14"/>
        <v>दाल-रोटी</v>
      </c>
      <c r="Q42" s="195"/>
      <c r="R42" s="196"/>
      <c r="S42" s="193"/>
      <c r="T42" s="197"/>
      <c r="U42" s="197"/>
      <c r="V42" s="197"/>
      <c r="W42" s="197"/>
      <c r="X42" s="197"/>
      <c r="Y42" s="197"/>
      <c r="Z42" s="197"/>
      <c r="AA42" s="196"/>
      <c r="AB42" s="197"/>
      <c r="AC42" s="197"/>
      <c r="AD42" s="197"/>
      <c r="AE42" s="197"/>
      <c r="AF42" s="197"/>
      <c r="AG42" s="197"/>
      <c r="AH42" s="197"/>
      <c r="AI42" s="197"/>
      <c r="AJ42" s="197"/>
      <c r="AK42" s="198"/>
      <c r="AL42" s="154">
        <f ca="1">IFERROR(INDEX(AWAKASH!W$10:X$40,MATCH(AM42,AWAKASH!X$10:X$40,0),1),0)</f>
        <v>0</v>
      </c>
      <c r="AM42" s="155">
        <f t="shared" ca="1" si="1"/>
        <v>43645</v>
      </c>
      <c r="AN42" s="156" t="str">
        <f t="shared" ca="1" si="15"/>
        <v>Sat</v>
      </c>
      <c r="AO42" s="157" t="str">
        <f t="shared" ca="1" si="16"/>
        <v>सब्जी-रोटी</v>
      </c>
      <c r="AP42" s="203"/>
      <c r="AQ42" s="204"/>
      <c r="AR42" s="205"/>
      <c r="AS42" s="205"/>
      <c r="AT42" s="205"/>
      <c r="AU42" s="205"/>
      <c r="AV42" s="205"/>
      <c r="AW42" s="205"/>
      <c r="AX42" s="205"/>
      <c r="AY42" s="205"/>
      <c r="AZ42" s="204"/>
      <c r="BA42" s="205"/>
      <c r="BB42" s="205"/>
      <c r="BC42" s="205"/>
      <c r="BD42" s="205"/>
      <c r="BE42" s="205"/>
      <c r="BF42" s="205"/>
      <c r="BG42" s="205"/>
      <c r="BH42" s="205"/>
      <c r="BI42" s="205"/>
      <c r="BJ42" s="206"/>
      <c r="BK42" s="154">
        <f ca="1">IFERROR(INDEX(AWAKASH!AK$10:AL$40,MATCH(BL42,AWAKASH!AL$10:AL$40,0),1),0)</f>
        <v>0</v>
      </c>
      <c r="BL42" s="158">
        <f t="shared" ca="1" si="2"/>
        <v>43675</v>
      </c>
      <c r="BM42" s="159" t="str">
        <f t="shared" ca="1" si="17"/>
        <v>Mon</v>
      </c>
      <c r="BN42" s="160" t="str">
        <f t="shared" ca="1" si="18"/>
        <v>सब्जी-रोटी</v>
      </c>
      <c r="BO42" s="211"/>
      <c r="BP42" s="212"/>
      <c r="BQ42" s="213"/>
      <c r="BR42" s="213"/>
      <c r="BS42" s="213"/>
      <c r="BT42" s="213"/>
      <c r="BU42" s="213"/>
      <c r="BV42" s="213"/>
      <c r="BW42" s="213"/>
      <c r="BX42" s="213"/>
      <c r="BY42" s="212"/>
      <c r="BZ42" s="213"/>
      <c r="CA42" s="213"/>
      <c r="CB42" s="213"/>
      <c r="CC42" s="213"/>
      <c r="CD42" s="213"/>
      <c r="CE42" s="213"/>
      <c r="CF42" s="213"/>
      <c r="CG42" s="213"/>
      <c r="CH42" s="213"/>
      <c r="CI42" s="214"/>
      <c r="CJ42" s="154">
        <f ca="1">IFERROR(INDEX(AWAKASH!AY$10:AZ$40,MATCH(CK42,AWAKASH!AZ$10:AZ$40,0),1),0)</f>
        <v>0</v>
      </c>
      <c r="CK42" s="161">
        <f t="shared" ca="1" si="3"/>
        <v>43706</v>
      </c>
      <c r="CL42" s="162" t="str">
        <f t="shared" ca="1" si="19"/>
        <v>Thu</v>
      </c>
      <c r="CM42" s="163" t="str">
        <f t="shared" ca="1" si="20"/>
        <v>खिचड़ी-सब्जी</v>
      </c>
      <c r="CN42" s="219"/>
      <c r="CO42" s="220"/>
      <c r="CP42" s="221"/>
      <c r="CQ42" s="221"/>
      <c r="CR42" s="221"/>
      <c r="CS42" s="221"/>
      <c r="CT42" s="221"/>
      <c r="CU42" s="221"/>
      <c r="CV42" s="221"/>
      <c r="CW42" s="221"/>
      <c r="CX42" s="220"/>
      <c r="CY42" s="221"/>
      <c r="CZ42" s="221"/>
      <c r="DA42" s="221"/>
      <c r="DB42" s="221"/>
      <c r="DC42" s="221"/>
      <c r="DD42" s="221"/>
      <c r="DE42" s="221"/>
      <c r="DF42" s="221"/>
      <c r="DG42" s="221"/>
      <c r="DH42" s="222"/>
      <c r="DI42" s="154">
        <f ca="1">IFERROR(INDEX(AWAKASH!BM$10:BN$40,MATCH(DJ42,AWAKASH!BN$10:BN$40,0),1),0)</f>
        <v>0</v>
      </c>
      <c r="DJ42" s="164">
        <f t="shared" ca="1" si="4"/>
        <v>43737</v>
      </c>
      <c r="DK42" s="165" t="str">
        <f t="shared" ca="1" si="21"/>
        <v>Sun</v>
      </c>
      <c r="DL42" s="166">
        <f t="shared" ca="1" si="22"/>
        <v>0</v>
      </c>
      <c r="DM42" s="227"/>
      <c r="DN42" s="228"/>
      <c r="DO42" s="229"/>
      <c r="DP42" s="229"/>
      <c r="DQ42" s="229"/>
      <c r="DR42" s="229"/>
      <c r="DS42" s="229"/>
      <c r="DT42" s="229"/>
      <c r="DU42" s="229"/>
      <c r="DV42" s="229"/>
      <c r="DW42" s="228"/>
      <c r="DX42" s="229"/>
      <c r="DY42" s="229"/>
      <c r="DZ42" s="229"/>
      <c r="EA42" s="229"/>
      <c r="EB42" s="229"/>
      <c r="EC42" s="229"/>
      <c r="ED42" s="229"/>
      <c r="EE42" s="229"/>
      <c r="EF42" s="229"/>
      <c r="EG42" s="230"/>
      <c r="EH42" s="154">
        <f ca="1">IFERROR(INDEX(AWAKASH!CA$10:CB$40,MATCH(EI42,AWAKASH!CB$10:CB$40,0),1),0)</f>
        <v>0</v>
      </c>
      <c r="EI42" s="167">
        <f t="shared" ca="1" si="5"/>
        <v>43767</v>
      </c>
      <c r="EJ42" s="168" t="str">
        <f t="shared" ca="1" si="23"/>
        <v>Tue</v>
      </c>
      <c r="EK42" s="169" t="str">
        <f t="shared" ca="1" si="24"/>
        <v>दाल-चावल</v>
      </c>
      <c r="EL42" s="235"/>
      <c r="EM42" s="236"/>
      <c r="EN42" s="237"/>
      <c r="EO42" s="237"/>
      <c r="EP42" s="237"/>
      <c r="EQ42" s="237"/>
      <c r="ER42" s="237"/>
      <c r="ES42" s="237"/>
      <c r="ET42" s="237"/>
      <c r="EU42" s="237"/>
      <c r="EV42" s="236"/>
      <c r="EW42" s="237"/>
      <c r="EX42" s="237"/>
      <c r="EY42" s="237"/>
      <c r="EZ42" s="237"/>
      <c r="FA42" s="237"/>
      <c r="FB42" s="237"/>
      <c r="FC42" s="237"/>
      <c r="FD42" s="237"/>
      <c r="FE42" s="237"/>
      <c r="FF42" s="238"/>
      <c r="FG42" s="46">
        <f ca="1">IFERROR(INDEX(AWAKASH!FC$10:FD$40,MATCH(FH42,AWAKASH!FD$10:FD$40,0),1),0)</f>
        <v>0</v>
      </c>
      <c r="FH42" s="170">
        <f t="shared" ca="1" si="6"/>
        <v>43798</v>
      </c>
      <c r="FI42" s="171" t="str">
        <f t="shared" ca="1" si="25"/>
        <v>Fri</v>
      </c>
      <c r="FJ42" s="172" t="str">
        <f t="shared" ca="1" si="26"/>
        <v>दाल-रोटी</v>
      </c>
      <c r="FK42" s="195"/>
      <c r="FL42" s="196"/>
      <c r="FM42" s="197"/>
      <c r="FN42" s="197"/>
      <c r="FO42" s="197"/>
      <c r="FP42" s="197"/>
      <c r="FQ42" s="197"/>
      <c r="FR42" s="197"/>
      <c r="FS42" s="197"/>
      <c r="FT42" s="197"/>
      <c r="FU42" s="196"/>
      <c r="FV42" s="197"/>
      <c r="FW42" s="197"/>
      <c r="FX42" s="197"/>
      <c r="FY42" s="197"/>
      <c r="FZ42" s="197"/>
      <c r="GA42" s="197"/>
      <c r="GB42" s="197"/>
      <c r="GC42" s="197"/>
      <c r="GD42" s="197"/>
      <c r="GE42" s="198"/>
      <c r="GF42" s="154">
        <f ca="1">IFERROR(INDEX(AWAKASH!FQ$10:FR$40,MATCH(GG42,AWAKASH!FR$10:FR$40,0),1),0)</f>
        <v>0</v>
      </c>
      <c r="GG42" s="155">
        <f t="shared" ca="1" si="7"/>
        <v>43828</v>
      </c>
      <c r="GH42" s="156" t="str">
        <f t="shared" ca="1" si="27"/>
        <v>Sun</v>
      </c>
      <c r="GI42" s="157">
        <f t="shared" ca="1" si="28"/>
        <v>0</v>
      </c>
      <c r="GJ42" s="203"/>
      <c r="GK42" s="204"/>
      <c r="GL42" s="205"/>
      <c r="GM42" s="205"/>
      <c r="GN42" s="205"/>
      <c r="GO42" s="205"/>
      <c r="GP42" s="205"/>
      <c r="GQ42" s="205"/>
      <c r="GR42" s="205"/>
      <c r="GS42" s="205"/>
      <c r="GT42" s="204"/>
      <c r="GU42" s="205"/>
      <c r="GV42" s="205"/>
      <c r="GW42" s="205"/>
      <c r="GX42" s="205"/>
      <c r="GY42" s="205"/>
      <c r="GZ42" s="205"/>
      <c r="HA42" s="205"/>
      <c r="HB42" s="205"/>
      <c r="HC42" s="205"/>
      <c r="HD42" s="206"/>
      <c r="HE42" s="154">
        <f ca="1">IFERROR(INDEX(AWAKASH!GE$10:GF$40,MATCH(HF42,AWAKASH!GF$10:GF$40,0),1),0)</f>
        <v>0</v>
      </c>
      <c r="HF42" s="158">
        <f t="shared" ca="1" si="8"/>
        <v>0</v>
      </c>
      <c r="HG42" s="159" t="str">
        <f t="shared" ca="1" si="29"/>
        <v/>
      </c>
      <c r="HH42" s="160" t="str">
        <f t="shared" ca="1" si="30"/>
        <v/>
      </c>
      <c r="HI42" s="211"/>
      <c r="HJ42" s="212"/>
      <c r="HK42" s="213"/>
      <c r="HL42" s="213"/>
      <c r="HM42" s="213"/>
      <c r="HN42" s="213"/>
      <c r="HO42" s="213"/>
      <c r="HP42" s="213"/>
      <c r="HQ42" s="213"/>
      <c r="HR42" s="213"/>
      <c r="HS42" s="212"/>
      <c r="HT42" s="213"/>
      <c r="HU42" s="213"/>
      <c r="HV42" s="213"/>
      <c r="HW42" s="213"/>
      <c r="HX42" s="213"/>
      <c r="HY42" s="213"/>
      <c r="HZ42" s="213"/>
      <c r="IA42" s="213"/>
      <c r="IB42" s="213"/>
      <c r="IC42" s="214"/>
      <c r="ID42" s="154">
        <f ca="1">IFERROR(INDEX(AWAKASH!GS$10:GT$40,MATCH(IE42,AWAKASH!GT$10:GT$40,0),1),0)</f>
        <v>0</v>
      </c>
      <c r="IE42" s="161">
        <f t="shared" ca="1" si="9"/>
        <v>0</v>
      </c>
      <c r="IF42" s="162" t="str">
        <f t="shared" ca="1" si="31"/>
        <v/>
      </c>
      <c r="IG42" s="163" t="str">
        <f t="shared" ca="1" si="32"/>
        <v/>
      </c>
      <c r="IH42" s="219"/>
      <c r="II42" s="220"/>
      <c r="IJ42" s="221"/>
      <c r="IK42" s="221"/>
      <c r="IL42" s="221"/>
      <c r="IM42" s="221"/>
      <c r="IN42" s="221"/>
      <c r="IO42" s="221"/>
      <c r="IP42" s="221"/>
      <c r="IQ42" s="221"/>
      <c r="IR42" s="220"/>
      <c r="IS42" s="221"/>
      <c r="IT42" s="221"/>
      <c r="IU42" s="221"/>
      <c r="IV42" s="221"/>
      <c r="IW42" s="221"/>
      <c r="IX42" s="221"/>
      <c r="IY42" s="221"/>
      <c r="IZ42" s="221"/>
      <c r="JA42" s="221"/>
      <c r="JB42" s="222"/>
      <c r="JC42" s="154">
        <f ca="1">IFERROR(INDEX(AWAKASH!HG$10:HH$40,MATCH(JD42,AWAKASH!HH$10:HH$40,0),1),0)</f>
        <v>0</v>
      </c>
      <c r="JD42" s="164">
        <f t="shared" ca="1" si="10"/>
        <v>0</v>
      </c>
      <c r="JE42" s="165" t="str">
        <f t="shared" ca="1" si="33"/>
        <v/>
      </c>
      <c r="JF42" s="166" t="str">
        <f t="shared" ca="1" si="34"/>
        <v/>
      </c>
      <c r="JG42" s="227"/>
      <c r="JH42" s="228"/>
      <c r="JI42" s="229"/>
      <c r="JJ42" s="229"/>
      <c r="JK42" s="229"/>
      <c r="JL42" s="229"/>
      <c r="JM42" s="229"/>
      <c r="JN42" s="229"/>
      <c r="JO42" s="229"/>
      <c r="JP42" s="229"/>
      <c r="JQ42" s="228"/>
      <c r="JR42" s="229"/>
      <c r="JS42" s="229"/>
      <c r="JT42" s="229"/>
      <c r="JU42" s="229"/>
      <c r="JV42" s="229"/>
      <c r="JW42" s="229"/>
      <c r="JX42" s="229"/>
      <c r="JY42" s="229"/>
      <c r="JZ42" s="229"/>
      <c r="KA42" s="230"/>
      <c r="KB42" s="154">
        <f ca="1">IFERROR(INDEX(AWAKASH!HU$10:HV$40,MATCH(KC42,AWAKASH!HV$10:HV$40,0),1),0)</f>
        <v>0</v>
      </c>
      <c r="KC42" s="167">
        <f t="shared" ca="1" si="11"/>
        <v>0</v>
      </c>
      <c r="KD42" s="168" t="str">
        <f t="shared" ca="1" si="35"/>
        <v/>
      </c>
      <c r="KE42" s="169" t="str">
        <f t="shared" ca="1" si="36"/>
        <v/>
      </c>
      <c r="KF42" s="235"/>
      <c r="KG42" s="236"/>
      <c r="KH42" s="237"/>
      <c r="KI42" s="237"/>
      <c r="KJ42" s="237"/>
      <c r="KK42" s="237"/>
      <c r="KL42" s="237"/>
      <c r="KM42" s="237"/>
      <c r="KN42" s="237"/>
      <c r="KO42" s="237"/>
      <c r="KP42" s="236"/>
      <c r="KQ42" s="237"/>
      <c r="KR42" s="237"/>
      <c r="KS42" s="237"/>
      <c r="KT42" s="237"/>
      <c r="KU42" s="237"/>
      <c r="KV42" s="237"/>
      <c r="KW42" s="237"/>
      <c r="KX42" s="237"/>
      <c r="KY42" s="237"/>
      <c r="KZ42" s="238"/>
      <c r="LA42" s="46"/>
    </row>
    <row r="43" spans="1:313" ht="20.100000000000001" customHeight="1" x14ac:dyDescent="0.25">
      <c r="A43" s="3">
        <v>30</v>
      </c>
      <c r="M43" s="46">
        <f ca="1">IFERROR(INDEX(AWAKASH!I$10:J$40,MATCH(N43,AWAKASH!J$10:J$40,0),1),0)</f>
        <v>0</v>
      </c>
      <c r="N43" s="170">
        <f t="shared" ca="1" si="0"/>
        <v>43615</v>
      </c>
      <c r="O43" s="171" t="str">
        <f t="shared" ca="1" si="13"/>
        <v>Thu</v>
      </c>
      <c r="P43" s="172" t="str">
        <f t="shared" ca="1" si="14"/>
        <v>खिचड़ी-सब्जी</v>
      </c>
      <c r="Q43" s="195"/>
      <c r="R43" s="196"/>
      <c r="S43" s="193"/>
      <c r="T43" s="197"/>
      <c r="U43" s="197"/>
      <c r="V43" s="197"/>
      <c r="W43" s="197"/>
      <c r="X43" s="197"/>
      <c r="Y43" s="197"/>
      <c r="Z43" s="197"/>
      <c r="AA43" s="196"/>
      <c r="AB43" s="197"/>
      <c r="AC43" s="197"/>
      <c r="AD43" s="197"/>
      <c r="AE43" s="197"/>
      <c r="AF43" s="197"/>
      <c r="AG43" s="197"/>
      <c r="AH43" s="197"/>
      <c r="AI43" s="197"/>
      <c r="AJ43" s="197"/>
      <c r="AK43" s="198"/>
      <c r="AL43" s="154">
        <f ca="1">IFERROR(INDEX(AWAKASH!W$10:X$40,MATCH(AM43,AWAKASH!X$10:X$40,0),1),0)</f>
        <v>0</v>
      </c>
      <c r="AM43" s="155">
        <f t="shared" ca="1" si="1"/>
        <v>43646</v>
      </c>
      <c r="AN43" s="156" t="str">
        <f t="shared" ca="1" si="15"/>
        <v>Sun</v>
      </c>
      <c r="AO43" s="157">
        <f t="shared" ca="1" si="16"/>
        <v>0</v>
      </c>
      <c r="AP43" s="203"/>
      <c r="AQ43" s="204"/>
      <c r="AR43" s="205"/>
      <c r="AS43" s="205"/>
      <c r="AT43" s="205"/>
      <c r="AU43" s="205"/>
      <c r="AV43" s="205"/>
      <c r="AW43" s="205"/>
      <c r="AX43" s="205"/>
      <c r="AY43" s="205"/>
      <c r="AZ43" s="204"/>
      <c r="BA43" s="205"/>
      <c r="BB43" s="205"/>
      <c r="BC43" s="205"/>
      <c r="BD43" s="205"/>
      <c r="BE43" s="205"/>
      <c r="BF43" s="205"/>
      <c r="BG43" s="205"/>
      <c r="BH43" s="205"/>
      <c r="BI43" s="205"/>
      <c r="BJ43" s="206"/>
      <c r="BK43" s="154">
        <f ca="1">IFERROR(INDEX(AWAKASH!AK$10:AL$40,MATCH(BL43,AWAKASH!AL$10:AL$40,0),1),0)</f>
        <v>0</v>
      </c>
      <c r="BL43" s="158">
        <f t="shared" ca="1" si="2"/>
        <v>43676</v>
      </c>
      <c r="BM43" s="159" t="str">
        <f t="shared" ca="1" si="17"/>
        <v>Tue</v>
      </c>
      <c r="BN43" s="160" t="str">
        <f t="shared" ca="1" si="18"/>
        <v>दाल-चावल</v>
      </c>
      <c r="BO43" s="211"/>
      <c r="BP43" s="212"/>
      <c r="BQ43" s="213"/>
      <c r="BR43" s="213"/>
      <c r="BS43" s="213"/>
      <c r="BT43" s="213"/>
      <c r="BU43" s="213"/>
      <c r="BV43" s="213"/>
      <c r="BW43" s="213"/>
      <c r="BX43" s="213"/>
      <c r="BY43" s="212"/>
      <c r="BZ43" s="213"/>
      <c r="CA43" s="213"/>
      <c r="CB43" s="213"/>
      <c r="CC43" s="213"/>
      <c r="CD43" s="213"/>
      <c r="CE43" s="213"/>
      <c r="CF43" s="213"/>
      <c r="CG43" s="213"/>
      <c r="CH43" s="213"/>
      <c r="CI43" s="214"/>
      <c r="CJ43" s="154">
        <f ca="1">IFERROR(INDEX(AWAKASH!AY$10:AZ$40,MATCH(CK43,AWAKASH!AZ$10:AZ$40,0),1),0)</f>
        <v>0</v>
      </c>
      <c r="CK43" s="161">
        <f t="shared" ca="1" si="3"/>
        <v>43707</v>
      </c>
      <c r="CL43" s="162" t="str">
        <f t="shared" ca="1" si="19"/>
        <v>Fri</v>
      </c>
      <c r="CM43" s="163" t="str">
        <f t="shared" ca="1" si="20"/>
        <v>दाल-रोटी</v>
      </c>
      <c r="CN43" s="219"/>
      <c r="CO43" s="220"/>
      <c r="CP43" s="221"/>
      <c r="CQ43" s="221"/>
      <c r="CR43" s="221"/>
      <c r="CS43" s="221"/>
      <c r="CT43" s="221"/>
      <c r="CU43" s="221"/>
      <c r="CV43" s="221"/>
      <c r="CW43" s="221"/>
      <c r="CX43" s="220"/>
      <c r="CY43" s="221"/>
      <c r="CZ43" s="221"/>
      <c r="DA43" s="221"/>
      <c r="DB43" s="221"/>
      <c r="DC43" s="221"/>
      <c r="DD43" s="221"/>
      <c r="DE43" s="221"/>
      <c r="DF43" s="221"/>
      <c r="DG43" s="221"/>
      <c r="DH43" s="222"/>
      <c r="DI43" s="154">
        <f ca="1">IFERROR(INDEX(AWAKASH!BM$10:BN$40,MATCH(DJ43,AWAKASH!BN$10:BN$40,0),1),0)</f>
        <v>0</v>
      </c>
      <c r="DJ43" s="164">
        <f t="shared" ca="1" si="4"/>
        <v>43738</v>
      </c>
      <c r="DK43" s="165" t="str">
        <f t="shared" ca="1" si="21"/>
        <v>Mon</v>
      </c>
      <c r="DL43" s="166" t="str">
        <f t="shared" ca="1" si="22"/>
        <v>सब्जी-रोटी</v>
      </c>
      <c r="DM43" s="227"/>
      <c r="DN43" s="228"/>
      <c r="DO43" s="229"/>
      <c r="DP43" s="229"/>
      <c r="DQ43" s="229"/>
      <c r="DR43" s="229"/>
      <c r="DS43" s="229"/>
      <c r="DT43" s="229"/>
      <c r="DU43" s="229"/>
      <c r="DV43" s="229"/>
      <c r="DW43" s="228"/>
      <c r="DX43" s="229"/>
      <c r="DY43" s="229"/>
      <c r="DZ43" s="229"/>
      <c r="EA43" s="229"/>
      <c r="EB43" s="229"/>
      <c r="EC43" s="229"/>
      <c r="ED43" s="229"/>
      <c r="EE43" s="229"/>
      <c r="EF43" s="229"/>
      <c r="EG43" s="230"/>
      <c r="EH43" s="154">
        <f ca="1">IFERROR(INDEX(AWAKASH!CA$10:CB$40,MATCH(EI43,AWAKASH!CB$10:CB$40,0),1),0)</f>
        <v>0</v>
      </c>
      <c r="EI43" s="167">
        <f t="shared" ca="1" si="5"/>
        <v>43768</v>
      </c>
      <c r="EJ43" s="168" t="str">
        <f t="shared" ca="1" si="23"/>
        <v>Wed</v>
      </c>
      <c r="EK43" s="169" t="str">
        <f t="shared" ca="1" si="24"/>
        <v>दाल-रोटी</v>
      </c>
      <c r="EL43" s="235"/>
      <c r="EM43" s="236"/>
      <c r="EN43" s="237"/>
      <c r="EO43" s="237"/>
      <c r="EP43" s="237"/>
      <c r="EQ43" s="237"/>
      <c r="ER43" s="237"/>
      <c r="ES43" s="237"/>
      <c r="ET43" s="237"/>
      <c r="EU43" s="237"/>
      <c r="EV43" s="236"/>
      <c r="EW43" s="237"/>
      <c r="EX43" s="237"/>
      <c r="EY43" s="237"/>
      <c r="EZ43" s="237"/>
      <c r="FA43" s="237"/>
      <c r="FB43" s="237"/>
      <c r="FC43" s="237"/>
      <c r="FD43" s="237"/>
      <c r="FE43" s="237"/>
      <c r="FF43" s="238"/>
      <c r="FG43" s="46">
        <f ca="1">IFERROR(INDEX(AWAKASH!FC$10:FD$40,MATCH(FH43,AWAKASH!FD$10:FD$40,0),1),0)</f>
        <v>0</v>
      </c>
      <c r="FH43" s="170">
        <f t="shared" ca="1" si="6"/>
        <v>43799</v>
      </c>
      <c r="FI43" s="171" t="str">
        <f t="shared" ca="1" si="25"/>
        <v>Sat</v>
      </c>
      <c r="FJ43" s="172" t="str">
        <f t="shared" ca="1" si="26"/>
        <v>सब्जी-रोटी</v>
      </c>
      <c r="FK43" s="195"/>
      <c r="FL43" s="196"/>
      <c r="FM43" s="197"/>
      <c r="FN43" s="197"/>
      <c r="FO43" s="197"/>
      <c r="FP43" s="197"/>
      <c r="FQ43" s="197"/>
      <c r="FR43" s="197"/>
      <c r="FS43" s="197"/>
      <c r="FT43" s="197"/>
      <c r="FU43" s="196"/>
      <c r="FV43" s="197"/>
      <c r="FW43" s="197"/>
      <c r="FX43" s="197"/>
      <c r="FY43" s="197"/>
      <c r="FZ43" s="197"/>
      <c r="GA43" s="197"/>
      <c r="GB43" s="197"/>
      <c r="GC43" s="197"/>
      <c r="GD43" s="197"/>
      <c r="GE43" s="198"/>
      <c r="GF43" s="154">
        <f ca="1">IFERROR(INDEX(AWAKASH!FQ$10:FR$40,MATCH(GG43,AWAKASH!FR$10:FR$40,0),1),0)</f>
        <v>0</v>
      </c>
      <c r="GG43" s="155">
        <f t="shared" ca="1" si="7"/>
        <v>43829</v>
      </c>
      <c r="GH43" s="156" t="str">
        <f t="shared" ca="1" si="27"/>
        <v>Mon</v>
      </c>
      <c r="GI43" s="157" t="str">
        <f t="shared" ca="1" si="28"/>
        <v>सब्जी-रोटी</v>
      </c>
      <c r="GJ43" s="203"/>
      <c r="GK43" s="204"/>
      <c r="GL43" s="205"/>
      <c r="GM43" s="205"/>
      <c r="GN43" s="205"/>
      <c r="GO43" s="205"/>
      <c r="GP43" s="205"/>
      <c r="GQ43" s="205"/>
      <c r="GR43" s="205"/>
      <c r="GS43" s="205"/>
      <c r="GT43" s="204"/>
      <c r="GU43" s="205"/>
      <c r="GV43" s="205"/>
      <c r="GW43" s="205"/>
      <c r="GX43" s="205"/>
      <c r="GY43" s="205"/>
      <c r="GZ43" s="205"/>
      <c r="HA43" s="205"/>
      <c r="HB43" s="205"/>
      <c r="HC43" s="205"/>
      <c r="HD43" s="206"/>
      <c r="HE43" s="154">
        <f ca="1">IFERROR(INDEX(AWAKASH!GE$10:GF$40,MATCH(HF43,AWAKASH!GF$10:GF$40,0),1),0)</f>
        <v>0</v>
      </c>
      <c r="HF43" s="158">
        <f t="shared" ca="1" si="8"/>
        <v>0</v>
      </c>
      <c r="HG43" s="159" t="str">
        <f t="shared" ca="1" si="29"/>
        <v/>
      </c>
      <c r="HH43" s="160" t="str">
        <f t="shared" ca="1" si="30"/>
        <v/>
      </c>
      <c r="HI43" s="211"/>
      <c r="HJ43" s="212"/>
      <c r="HK43" s="213"/>
      <c r="HL43" s="213"/>
      <c r="HM43" s="213"/>
      <c r="HN43" s="213"/>
      <c r="HO43" s="213"/>
      <c r="HP43" s="213"/>
      <c r="HQ43" s="213"/>
      <c r="HR43" s="213"/>
      <c r="HS43" s="212"/>
      <c r="HT43" s="213"/>
      <c r="HU43" s="213"/>
      <c r="HV43" s="213"/>
      <c r="HW43" s="213"/>
      <c r="HX43" s="213"/>
      <c r="HY43" s="213"/>
      <c r="HZ43" s="213"/>
      <c r="IA43" s="213"/>
      <c r="IB43" s="213"/>
      <c r="IC43" s="214"/>
      <c r="ID43" s="154">
        <f>IFERROR(INDEX(AWAKASH!GS$10:GT$40,MATCH(IE43,AWAKASH!GT$10:GT$40,0),1),0)</f>
        <v>0</v>
      </c>
      <c r="IE43" s="161">
        <f t="shared" si="9"/>
        <v>0</v>
      </c>
      <c r="IF43" s="162" t="str">
        <f t="shared" si="31"/>
        <v/>
      </c>
      <c r="IG43" s="163" t="str">
        <f t="shared" si="32"/>
        <v/>
      </c>
      <c r="IH43" s="219"/>
      <c r="II43" s="220"/>
      <c r="IJ43" s="221"/>
      <c r="IK43" s="221"/>
      <c r="IL43" s="221"/>
      <c r="IM43" s="221"/>
      <c r="IN43" s="221"/>
      <c r="IO43" s="221"/>
      <c r="IP43" s="221"/>
      <c r="IQ43" s="221"/>
      <c r="IR43" s="220"/>
      <c r="IS43" s="221"/>
      <c r="IT43" s="221"/>
      <c r="IU43" s="221"/>
      <c r="IV43" s="221"/>
      <c r="IW43" s="221"/>
      <c r="IX43" s="221"/>
      <c r="IY43" s="221"/>
      <c r="IZ43" s="221"/>
      <c r="JA43" s="221"/>
      <c r="JB43" s="222"/>
      <c r="JC43" s="154">
        <f ca="1">IFERROR(INDEX(AWAKASH!HG$10:HH$40,MATCH(JD43,AWAKASH!HH$10:HH$40,0),1),0)</f>
        <v>0</v>
      </c>
      <c r="JD43" s="164">
        <f t="shared" ca="1" si="10"/>
        <v>0</v>
      </c>
      <c r="JE43" s="165" t="str">
        <f t="shared" ca="1" si="33"/>
        <v/>
      </c>
      <c r="JF43" s="166" t="str">
        <f t="shared" ca="1" si="34"/>
        <v/>
      </c>
      <c r="JG43" s="227"/>
      <c r="JH43" s="228"/>
      <c r="JI43" s="229"/>
      <c r="JJ43" s="229"/>
      <c r="JK43" s="229"/>
      <c r="JL43" s="229"/>
      <c r="JM43" s="229"/>
      <c r="JN43" s="229"/>
      <c r="JO43" s="229"/>
      <c r="JP43" s="229"/>
      <c r="JQ43" s="228"/>
      <c r="JR43" s="229"/>
      <c r="JS43" s="229"/>
      <c r="JT43" s="229"/>
      <c r="JU43" s="229"/>
      <c r="JV43" s="229"/>
      <c r="JW43" s="229"/>
      <c r="JX43" s="229"/>
      <c r="JY43" s="229"/>
      <c r="JZ43" s="229"/>
      <c r="KA43" s="230"/>
      <c r="KB43" s="154">
        <f ca="1">IFERROR(INDEX(AWAKASH!HU$10:HV$40,MATCH(KC43,AWAKASH!HV$10:HV$40,0),1),0)</f>
        <v>0</v>
      </c>
      <c r="KC43" s="167">
        <f t="shared" ca="1" si="11"/>
        <v>0</v>
      </c>
      <c r="KD43" s="168" t="str">
        <f t="shared" ca="1" si="35"/>
        <v/>
      </c>
      <c r="KE43" s="169" t="str">
        <f t="shared" ca="1" si="36"/>
        <v/>
      </c>
      <c r="KF43" s="235"/>
      <c r="KG43" s="236"/>
      <c r="KH43" s="237"/>
      <c r="KI43" s="237"/>
      <c r="KJ43" s="237"/>
      <c r="KK43" s="237"/>
      <c r="KL43" s="237"/>
      <c r="KM43" s="237"/>
      <c r="KN43" s="237"/>
      <c r="KO43" s="237"/>
      <c r="KP43" s="236"/>
      <c r="KQ43" s="237"/>
      <c r="KR43" s="237"/>
      <c r="KS43" s="237"/>
      <c r="KT43" s="237"/>
      <c r="KU43" s="237"/>
      <c r="KV43" s="237"/>
      <c r="KW43" s="237"/>
      <c r="KX43" s="237"/>
      <c r="KY43" s="237"/>
      <c r="KZ43" s="238"/>
      <c r="LA43" s="46"/>
    </row>
    <row r="44" spans="1:313" ht="20.100000000000001" customHeight="1" thickBot="1" x14ac:dyDescent="0.3">
      <c r="A44" s="3">
        <v>31</v>
      </c>
      <c r="M44" s="46">
        <f ca="1">IFERROR(INDEX(AWAKASH!I$10:J$40,MATCH(N44,AWAKASH!J$10:J$40,0),1),0)</f>
        <v>0</v>
      </c>
      <c r="N44" s="173">
        <f t="shared" ca="1" si="0"/>
        <v>43616</v>
      </c>
      <c r="O44" s="174" t="str">
        <f t="shared" ca="1" si="13"/>
        <v>Fri</v>
      </c>
      <c r="P44" s="175" t="str">
        <f t="shared" ca="1" si="14"/>
        <v>दाल-रोटी</v>
      </c>
      <c r="Q44" s="199"/>
      <c r="R44" s="200"/>
      <c r="S44" s="193"/>
      <c r="T44" s="201"/>
      <c r="U44" s="197"/>
      <c r="V44" s="201"/>
      <c r="W44" s="201"/>
      <c r="X44" s="201"/>
      <c r="Y44" s="201"/>
      <c r="Z44" s="201"/>
      <c r="AA44" s="200"/>
      <c r="AB44" s="201"/>
      <c r="AC44" s="201"/>
      <c r="AD44" s="201"/>
      <c r="AE44" s="201"/>
      <c r="AF44" s="201"/>
      <c r="AG44" s="201"/>
      <c r="AH44" s="201"/>
      <c r="AI44" s="201"/>
      <c r="AJ44" s="201"/>
      <c r="AK44" s="202"/>
      <c r="AL44" s="154">
        <f>IFERROR(INDEX(AWAKASH!W$10:X$40,MATCH(AM44,AWAKASH!X$10:X$40,0),1),0)</f>
        <v>0</v>
      </c>
      <c r="AM44" s="176">
        <f t="shared" si="1"/>
        <v>0</v>
      </c>
      <c r="AN44" s="177" t="str">
        <f t="shared" si="15"/>
        <v/>
      </c>
      <c r="AO44" s="178" t="str">
        <f t="shared" si="16"/>
        <v/>
      </c>
      <c r="AP44" s="207"/>
      <c r="AQ44" s="208"/>
      <c r="AR44" s="209"/>
      <c r="AS44" s="209"/>
      <c r="AT44" s="209"/>
      <c r="AU44" s="209"/>
      <c r="AV44" s="209"/>
      <c r="AW44" s="209"/>
      <c r="AX44" s="209"/>
      <c r="AY44" s="209"/>
      <c r="AZ44" s="208"/>
      <c r="BA44" s="209"/>
      <c r="BB44" s="209"/>
      <c r="BC44" s="209"/>
      <c r="BD44" s="209"/>
      <c r="BE44" s="209"/>
      <c r="BF44" s="209"/>
      <c r="BG44" s="209"/>
      <c r="BH44" s="209"/>
      <c r="BI44" s="209"/>
      <c r="BJ44" s="210"/>
      <c r="BK44" s="154">
        <f ca="1">IFERROR(INDEX(AWAKASH!AK$10:AL$40,MATCH(BL44,AWAKASH!AL$10:AL$40,0),1),0)</f>
        <v>0</v>
      </c>
      <c r="BL44" s="179">
        <f t="shared" ca="1" si="2"/>
        <v>43677</v>
      </c>
      <c r="BM44" s="180" t="str">
        <f t="shared" ca="1" si="17"/>
        <v>Wed</v>
      </c>
      <c r="BN44" s="181" t="str">
        <f t="shared" ca="1" si="18"/>
        <v>दाल-रोटी</v>
      </c>
      <c r="BO44" s="215"/>
      <c r="BP44" s="216"/>
      <c r="BQ44" s="217"/>
      <c r="BR44" s="217"/>
      <c r="BS44" s="217"/>
      <c r="BT44" s="217"/>
      <c r="BU44" s="217"/>
      <c r="BV44" s="217"/>
      <c r="BW44" s="217"/>
      <c r="BX44" s="217"/>
      <c r="BY44" s="216"/>
      <c r="BZ44" s="217"/>
      <c r="CA44" s="217"/>
      <c r="CB44" s="217"/>
      <c r="CC44" s="217"/>
      <c r="CD44" s="217"/>
      <c r="CE44" s="217"/>
      <c r="CF44" s="217"/>
      <c r="CG44" s="217"/>
      <c r="CH44" s="217"/>
      <c r="CI44" s="218"/>
      <c r="CJ44" s="154">
        <f ca="1">IFERROR(INDEX(AWAKASH!AY$10:AZ$40,MATCH(CK44,AWAKASH!AZ$10:AZ$40,0),1),0)</f>
        <v>0</v>
      </c>
      <c r="CK44" s="182">
        <f t="shared" ca="1" si="3"/>
        <v>43708</v>
      </c>
      <c r="CL44" s="183" t="str">
        <f t="shared" ca="1" si="19"/>
        <v>Sat</v>
      </c>
      <c r="CM44" s="184" t="str">
        <f t="shared" ca="1" si="20"/>
        <v>सब्जी-रोटी</v>
      </c>
      <c r="CN44" s="223"/>
      <c r="CO44" s="224"/>
      <c r="CP44" s="225"/>
      <c r="CQ44" s="225"/>
      <c r="CR44" s="225"/>
      <c r="CS44" s="225"/>
      <c r="CT44" s="225"/>
      <c r="CU44" s="225"/>
      <c r="CV44" s="225"/>
      <c r="CW44" s="225"/>
      <c r="CX44" s="224"/>
      <c r="CY44" s="225"/>
      <c r="CZ44" s="225"/>
      <c r="DA44" s="225"/>
      <c r="DB44" s="225"/>
      <c r="DC44" s="225"/>
      <c r="DD44" s="225"/>
      <c r="DE44" s="225"/>
      <c r="DF44" s="225"/>
      <c r="DG44" s="225"/>
      <c r="DH44" s="226"/>
      <c r="DI44" s="154">
        <f>IFERROR(INDEX(AWAKASH!BM$10:BN$40,MATCH(DJ44,AWAKASH!BN$10:BN$40,0),1),0)</f>
        <v>0</v>
      </c>
      <c r="DJ44" s="185">
        <f t="shared" si="4"/>
        <v>0</v>
      </c>
      <c r="DK44" s="186" t="str">
        <f t="shared" si="21"/>
        <v/>
      </c>
      <c r="DL44" s="187" t="str">
        <f t="shared" si="22"/>
        <v/>
      </c>
      <c r="DM44" s="231"/>
      <c r="DN44" s="232"/>
      <c r="DO44" s="233"/>
      <c r="DP44" s="233"/>
      <c r="DQ44" s="233"/>
      <c r="DR44" s="233"/>
      <c r="DS44" s="233"/>
      <c r="DT44" s="233"/>
      <c r="DU44" s="233"/>
      <c r="DV44" s="233"/>
      <c r="DW44" s="232"/>
      <c r="DX44" s="233"/>
      <c r="DY44" s="233"/>
      <c r="DZ44" s="233"/>
      <c r="EA44" s="233"/>
      <c r="EB44" s="233"/>
      <c r="EC44" s="233"/>
      <c r="ED44" s="233"/>
      <c r="EE44" s="233"/>
      <c r="EF44" s="233"/>
      <c r="EG44" s="234"/>
      <c r="EH44" s="154">
        <f ca="1">IFERROR(INDEX(AWAKASH!CA$10:CB$40,MATCH(EI44,AWAKASH!CB$10:CB$40,0),1),0)</f>
        <v>0</v>
      </c>
      <c r="EI44" s="188">
        <f t="shared" ca="1" si="5"/>
        <v>43769</v>
      </c>
      <c r="EJ44" s="189" t="str">
        <f t="shared" ca="1" si="23"/>
        <v>Thu</v>
      </c>
      <c r="EK44" s="190" t="str">
        <f t="shared" ca="1" si="24"/>
        <v>खिचड़ी-सब्जी</v>
      </c>
      <c r="EL44" s="239"/>
      <c r="EM44" s="240"/>
      <c r="EN44" s="241"/>
      <c r="EO44" s="241"/>
      <c r="EP44" s="241"/>
      <c r="EQ44" s="241"/>
      <c r="ER44" s="241"/>
      <c r="ES44" s="241"/>
      <c r="ET44" s="241"/>
      <c r="EU44" s="241"/>
      <c r="EV44" s="240"/>
      <c r="EW44" s="241"/>
      <c r="EX44" s="241"/>
      <c r="EY44" s="241"/>
      <c r="EZ44" s="241"/>
      <c r="FA44" s="241"/>
      <c r="FB44" s="241"/>
      <c r="FC44" s="241"/>
      <c r="FD44" s="241"/>
      <c r="FE44" s="241"/>
      <c r="FF44" s="242"/>
      <c r="FG44" s="46">
        <f>IFERROR(INDEX(AWAKASH!FC$10:FD$40,MATCH(FH44,AWAKASH!FD$10:FD$40,0),1),0)</f>
        <v>0</v>
      </c>
      <c r="FH44" s="173">
        <f t="shared" si="6"/>
        <v>0</v>
      </c>
      <c r="FI44" s="174" t="str">
        <f t="shared" si="25"/>
        <v/>
      </c>
      <c r="FJ44" s="175" t="str">
        <f t="shared" si="26"/>
        <v/>
      </c>
      <c r="FK44" s="199"/>
      <c r="FL44" s="200"/>
      <c r="FM44" s="201"/>
      <c r="FN44" s="201"/>
      <c r="FO44" s="201"/>
      <c r="FP44" s="201"/>
      <c r="FQ44" s="201"/>
      <c r="FR44" s="201"/>
      <c r="FS44" s="201"/>
      <c r="FT44" s="201"/>
      <c r="FU44" s="200"/>
      <c r="FV44" s="201"/>
      <c r="FW44" s="201"/>
      <c r="FX44" s="201"/>
      <c r="FY44" s="201"/>
      <c r="FZ44" s="201"/>
      <c r="GA44" s="201"/>
      <c r="GB44" s="201"/>
      <c r="GC44" s="201"/>
      <c r="GD44" s="201"/>
      <c r="GE44" s="202"/>
      <c r="GF44" s="154">
        <f ca="1">IFERROR(INDEX(AWAKASH!FQ$10:FR$40,MATCH(GG44,AWAKASH!FR$10:FR$40,0),1),0)</f>
        <v>0</v>
      </c>
      <c r="GG44" s="176">
        <f t="shared" ca="1" si="7"/>
        <v>43830</v>
      </c>
      <c r="GH44" s="177" t="str">
        <f t="shared" ca="1" si="27"/>
        <v>Tue</v>
      </c>
      <c r="GI44" s="178" t="str">
        <f t="shared" ca="1" si="28"/>
        <v>दाल-चावल</v>
      </c>
      <c r="GJ44" s="207"/>
      <c r="GK44" s="208"/>
      <c r="GL44" s="209"/>
      <c r="GM44" s="209"/>
      <c r="GN44" s="209"/>
      <c r="GO44" s="209"/>
      <c r="GP44" s="209"/>
      <c r="GQ44" s="209"/>
      <c r="GR44" s="209"/>
      <c r="GS44" s="209"/>
      <c r="GT44" s="208"/>
      <c r="GU44" s="209"/>
      <c r="GV44" s="209"/>
      <c r="GW44" s="209"/>
      <c r="GX44" s="209"/>
      <c r="GY44" s="209"/>
      <c r="GZ44" s="209"/>
      <c r="HA44" s="209"/>
      <c r="HB44" s="209"/>
      <c r="HC44" s="209"/>
      <c r="HD44" s="210"/>
      <c r="HE44" s="154">
        <f ca="1">IFERROR(INDEX(AWAKASH!GE$10:GF$40,MATCH(HF44,AWAKASH!GF$10:GF$40,0),1),0)</f>
        <v>0</v>
      </c>
      <c r="HF44" s="179">
        <f t="shared" ca="1" si="8"/>
        <v>0</v>
      </c>
      <c r="HG44" s="180" t="str">
        <f t="shared" ca="1" si="29"/>
        <v/>
      </c>
      <c r="HH44" s="181" t="str">
        <f t="shared" ca="1" si="30"/>
        <v/>
      </c>
      <c r="HI44" s="215"/>
      <c r="HJ44" s="216"/>
      <c r="HK44" s="217"/>
      <c r="HL44" s="217"/>
      <c r="HM44" s="217"/>
      <c r="HN44" s="217"/>
      <c r="HO44" s="217"/>
      <c r="HP44" s="217"/>
      <c r="HQ44" s="217"/>
      <c r="HR44" s="217"/>
      <c r="HS44" s="216"/>
      <c r="HT44" s="217"/>
      <c r="HU44" s="217"/>
      <c r="HV44" s="217"/>
      <c r="HW44" s="217"/>
      <c r="HX44" s="217"/>
      <c r="HY44" s="217"/>
      <c r="HZ44" s="217"/>
      <c r="IA44" s="217"/>
      <c r="IB44" s="217"/>
      <c r="IC44" s="218"/>
      <c r="ID44" s="154">
        <f>IFERROR(INDEX(AWAKASH!GS$10:GT$40,MATCH(IE44,AWAKASH!GT$10:GT$40,0),1),0)</f>
        <v>0</v>
      </c>
      <c r="IE44" s="182">
        <f t="shared" si="9"/>
        <v>0</v>
      </c>
      <c r="IF44" s="183" t="str">
        <f t="shared" si="31"/>
        <v/>
      </c>
      <c r="IG44" s="184" t="str">
        <f t="shared" si="32"/>
        <v/>
      </c>
      <c r="IH44" s="223"/>
      <c r="II44" s="224"/>
      <c r="IJ44" s="225"/>
      <c r="IK44" s="225"/>
      <c r="IL44" s="225"/>
      <c r="IM44" s="225"/>
      <c r="IN44" s="225"/>
      <c r="IO44" s="225"/>
      <c r="IP44" s="225"/>
      <c r="IQ44" s="225"/>
      <c r="IR44" s="224"/>
      <c r="IS44" s="225"/>
      <c r="IT44" s="225"/>
      <c r="IU44" s="225"/>
      <c r="IV44" s="225"/>
      <c r="IW44" s="225"/>
      <c r="IX44" s="225"/>
      <c r="IY44" s="225"/>
      <c r="IZ44" s="225"/>
      <c r="JA44" s="225"/>
      <c r="JB44" s="226"/>
      <c r="JC44" s="154">
        <f ca="1">IFERROR(INDEX(AWAKASH!HG$10:HH$40,MATCH(JD44,AWAKASH!HH$10:HH$40,0),1),0)</f>
        <v>0</v>
      </c>
      <c r="JD44" s="185">
        <f t="shared" ca="1" si="10"/>
        <v>0</v>
      </c>
      <c r="JE44" s="186" t="str">
        <f t="shared" ca="1" si="33"/>
        <v/>
      </c>
      <c r="JF44" s="187" t="str">
        <f t="shared" ca="1" si="34"/>
        <v/>
      </c>
      <c r="JG44" s="231"/>
      <c r="JH44" s="232"/>
      <c r="JI44" s="233"/>
      <c r="JJ44" s="233"/>
      <c r="JK44" s="233"/>
      <c r="JL44" s="233"/>
      <c r="JM44" s="233"/>
      <c r="JN44" s="233"/>
      <c r="JO44" s="233"/>
      <c r="JP44" s="233"/>
      <c r="JQ44" s="232"/>
      <c r="JR44" s="233"/>
      <c r="JS44" s="233"/>
      <c r="JT44" s="233"/>
      <c r="JU44" s="233"/>
      <c r="JV44" s="233"/>
      <c r="JW44" s="233"/>
      <c r="JX44" s="233"/>
      <c r="JY44" s="233"/>
      <c r="JZ44" s="233"/>
      <c r="KA44" s="234"/>
      <c r="KB44" s="154">
        <f>IFERROR(INDEX(AWAKASH!HU$10:HV$40,MATCH(KC44,AWAKASH!HV$10:HV$40,0),1),0)</f>
        <v>0</v>
      </c>
      <c r="KC44" s="188">
        <f t="shared" si="11"/>
        <v>0</v>
      </c>
      <c r="KD44" s="189" t="str">
        <f t="shared" si="35"/>
        <v/>
      </c>
      <c r="KE44" s="190" t="str">
        <f t="shared" si="36"/>
        <v/>
      </c>
      <c r="KF44" s="239"/>
      <c r="KG44" s="240"/>
      <c r="KH44" s="241"/>
      <c r="KI44" s="241"/>
      <c r="KJ44" s="241"/>
      <c r="KK44" s="241"/>
      <c r="KL44" s="241"/>
      <c r="KM44" s="241"/>
      <c r="KN44" s="241"/>
      <c r="KO44" s="241"/>
      <c r="KP44" s="240"/>
      <c r="KQ44" s="241"/>
      <c r="KR44" s="241"/>
      <c r="KS44" s="241"/>
      <c r="KT44" s="241"/>
      <c r="KU44" s="241"/>
      <c r="KV44" s="241"/>
      <c r="KW44" s="241"/>
      <c r="KX44" s="241"/>
      <c r="KY44" s="241"/>
      <c r="KZ44" s="242"/>
      <c r="LA44" s="46"/>
    </row>
    <row r="45" spans="1:313" ht="15" customHeight="1" x14ac:dyDescent="0.25">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c r="BH45" s="46"/>
      <c r="BI45" s="46"/>
      <c r="BJ45" s="46"/>
      <c r="BK45" s="46"/>
      <c r="BL45" s="46"/>
      <c r="BM45" s="46"/>
      <c r="BN45" s="46"/>
      <c r="BO45" s="46"/>
      <c r="BP45" s="46"/>
      <c r="BQ45" s="46"/>
      <c r="BR45" s="46"/>
      <c r="BS45" s="46"/>
      <c r="BT45" s="46"/>
      <c r="BU45" s="46"/>
      <c r="BV45" s="46"/>
      <c r="BW45" s="46"/>
      <c r="BX45" s="46"/>
      <c r="BY45" s="46"/>
      <c r="BZ45" s="46"/>
      <c r="CA45" s="46"/>
      <c r="CB45" s="46"/>
      <c r="CC45" s="46"/>
      <c r="CD45" s="46"/>
      <c r="CE45" s="46"/>
      <c r="CF45" s="46"/>
      <c r="CG45" s="46"/>
      <c r="CH45" s="46"/>
      <c r="CI45" s="46"/>
      <c r="CJ45" s="46"/>
      <c r="CK45" s="46"/>
      <c r="CL45" s="46"/>
      <c r="CM45" s="46"/>
      <c r="CN45" s="46"/>
      <c r="CO45" s="46"/>
      <c r="CP45" s="46"/>
      <c r="CQ45" s="46"/>
      <c r="CR45" s="46"/>
      <c r="CS45" s="46"/>
      <c r="CT45" s="46"/>
      <c r="CU45" s="46"/>
      <c r="CV45" s="46"/>
      <c r="CW45" s="46"/>
      <c r="CX45" s="46"/>
      <c r="CY45" s="46"/>
      <c r="CZ45" s="46"/>
      <c r="DA45" s="46"/>
      <c r="DB45" s="46"/>
      <c r="DC45" s="46"/>
      <c r="DD45" s="46"/>
      <c r="DE45" s="46"/>
      <c r="DF45" s="46"/>
      <c r="DG45" s="46"/>
      <c r="DH45" s="46"/>
      <c r="DI45" s="46"/>
      <c r="DJ45" s="46"/>
      <c r="DK45" s="46"/>
      <c r="DL45" s="46"/>
      <c r="DM45" s="46"/>
      <c r="DN45" s="46"/>
      <c r="DO45" s="46"/>
      <c r="DP45" s="46"/>
      <c r="DQ45" s="46"/>
      <c r="DR45" s="46"/>
      <c r="DS45" s="46"/>
      <c r="DT45" s="46"/>
      <c r="DU45" s="46"/>
      <c r="DV45" s="46"/>
      <c r="DW45" s="46"/>
      <c r="DX45" s="46"/>
      <c r="DY45" s="46"/>
      <c r="DZ45" s="46"/>
      <c r="EA45" s="46"/>
      <c r="EB45" s="46"/>
      <c r="EC45" s="46"/>
      <c r="ED45" s="46"/>
      <c r="EE45" s="46"/>
      <c r="EF45" s="46"/>
      <c r="EG45" s="46"/>
      <c r="EH45" s="46"/>
      <c r="EI45" s="46"/>
      <c r="EJ45" s="46"/>
      <c r="EK45" s="46"/>
      <c r="EL45" s="46"/>
      <c r="EM45" s="46"/>
      <c r="EN45" s="46"/>
      <c r="EO45" s="46"/>
      <c r="EP45" s="46"/>
      <c r="EQ45" s="46"/>
      <c r="ER45" s="46"/>
      <c r="ES45" s="46"/>
      <c r="ET45" s="46"/>
      <c r="EU45" s="46"/>
      <c r="EV45" s="46"/>
      <c r="EW45" s="46"/>
      <c r="EX45" s="46"/>
      <c r="EY45" s="46"/>
      <c r="EZ45" s="46"/>
      <c r="FA45" s="46"/>
      <c r="FB45" s="46"/>
      <c r="FC45" s="46"/>
      <c r="FD45" s="46"/>
      <c r="FE45" s="46"/>
      <c r="FF45" s="46"/>
      <c r="FG45" s="46"/>
      <c r="FH45" s="46"/>
      <c r="FI45" s="46"/>
      <c r="FJ45" s="46"/>
      <c r="FK45" s="46"/>
      <c r="FL45" s="46"/>
      <c r="FM45" s="46"/>
      <c r="FN45" s="46"/>
      <c r="FO45" s="46"/>
      <c r="FP45" s="46"/>
      <c r="FQ45" s="46"/>
      <c r="FR45" s="46"/>
      <c r="FS45" s="46"/>
      <c r="FT45" s="46"/>
      <c r="FU45" s="46"/>
      <c r="FV45" s="46"/>
      <c r="FW45" s="46"/>
      <c r="FX45" s="46"/>
      <c r="FY45" s="46"/>
      <c r="FZ45" s="46"/>
      <c r="GA45" s="46"/>
      <c r="GB45" s="46"/>
      <c r="GC45" s="46"/>
      <c r="GD45" s="46"/>
      <c r="GE45" s="46"/>
      <c r="GF45" s="46"/>
      <c r="GG45" s="46"/>
      <c r="GH45" s="46"/>
      <c r="GI45" s="46"/>
      <c r="GJ45" s="46"/>
      <c r="GK45" s="46"/>
      <c r="GL45" s="46"/>
      <c r="GM45" s="46"/>
      <c r="GN45" s="46"/>
      <c r="GO45" s="46"/>
      <c r="GP45" s="46"/>
      <c r="GQ45" s="46"/>
      <c r="GR45" s="46"/>
      <c r="GS45" s="46"/>
      <c r="GT45" s="46"/>
      <c r="GU45" s="46"/>
      <c r="GV45" s="46"/>
      <c r="GW45" s="46"/>
      <c r="GX45" s="46"/>
      <c r="GY45" s="46"/>
      <c r="GZ45" s="46"/>
      <c r="HA45" s="46"/>
      <c r="HB45" s="46"/>
      <c r="HC45" s="46"/>
      <c r="HD45" s="46"/>
      <c r="HE45" s="46"/>
      <c r="HF45" s="46"/>
      <c r="HG45" s="46"/>
      <c r="HH45" s="46"/>
      <c r="HI45" s="46"/>
      <c r="HJ45" s="46"/>
      <c r="HK45" s="46"/>
      <c r="HL45" s="46"/>
      <c r="HM45" s="46"/>
      <c r="HN45" s="46"/>
      <c r="HO45" s="46"/>
      <c r="HP45" s="46"/>
      <c r="HQ45" s="46"/>
      <c r="HR45" s="46"/>
      <c r="HS45" s="46"/>
      <c r="HT45" s="46"/>
      <c r="HU45" s="46"/>
      <c r="HV45" s="46"/>
      <c r="HW45" s="46"/>
      <c r="HX45" s="46"/>
      <c r="HY45" s="46"/>
      <c r="HZ45" s="46"/>
      <c r="IA45" s="46"/>
      <c r="IB45" s="46"/>
      <c r="IC45" s="46"/>
      <c r="ID45" s="46"/>
      <c r="IE45" s="46"/>
      <c r="IF45" s="46"/>
      <c r="IG45" s="46"/>
      <c r="IH45" s="46"/>
      <c r="II45" s="46"/>
      <c r="IJ45" s="46"/>
      <c r="IK45" s="46"/>
      <c r="IL45" s="46"/>
      <c r="IM45" s="46"/>
      <c r="IN45" s="46"/>
      <c r="IO45" s="46"/>
      <c r="IP45" s="46"/>
      <c r="IQ45" s="46"/>
      <c r="IR45" s="46"/>
      <c r="IS45" s="46"/>
      <c r="IT45" s="46"/>
      <c r="IU45" s="46"/>
      <c r="IV45" s="46"/>
      <c r="IW45" s="46"/>
      <c r="IX45" s="46"/>
      <c r="IY45" s="46"/>
      <c r="IZ45" s="46"/>
      <c r="JA45" s="46"/>
      <c r="JB45" s="46"/>
      <c r="JC45" s="46"/>
      <c r="JD45" s="46"/>
      <c r="JE45" s="46"/>
      <c r="JF45" s="46"/>
      <c r="JG45" s="46"/>
      <c r="JH45" s="46"/>
      <c r="JI45" s="46"/>
      <c r="JJ45" s="46"/>
      <c r="JK45" s="46"/>
      <c r="JL45" s="46"/>
      <c r="JM45" s="46"/>
      <c r="JN45" s="46"/>
      <c r="JO45" s="46"/>
      <c r="JP45" s="46"/>
      <c r="JQ45" s="46"/>
      <c r="JR45" s="46"/>
      <c r="JS45" s="46"/>
      <c r="JT45" s="46"/>
      <c r="JU45" s="46"/>
      <c r="JV45" s="46"/>
      <c r="JW45" s="46"/>
      <c r="JX45" s="46"/>
      <c r="JY45" s="46"/>
      <c r="JZ45" s="46"/>
      <c r="KA45" s="46"/>
      <c r="KB45" s="46"/>
      <c r="KC45" s="46"/>
      <c r="KD45" s="46"/>
      <c r="KE45" s="46"/>
      <c r="KF45" s="46"/>
      <c r="KG45" s="46"/>
      <c r="KH45" s="46"/>
      <c r="KI45" s="46"/>
      <c r="KJ45" s="46"/>
      <c r="KK45" s="46"/>
      <c r="KL45" s="46"/>
      <c r="KM45" s="46"/>
      <c r="KN45" s="46"/>
      <c r="KO45" s="46"/>
      <c r="KP45" s="46"/>
      <c r="KQ45" s="46"/>
      <c r="KR45" s="46"/>
      <c r="KS45" s="46"/>
      <c r="KT45" s="46"/>
      <c r="KU45" s="46"/>
      <c r="KV45" s="46"/>
      <c r="KW45" s="46"/>
      <c r="KX45" s="46"/>
      <c r="KY45" s="46"/>
      <c r="KZ45" s="46"/>
      <c r="LA45" s="46"/>
    </row>
    <row r="46" spans="1:313" hidden="1" x14ac:dyDescent="0.25">
      <c r="N46" s="3">
        <f ca="1">IFERROR(IF(N14&gt;=$I$14,MATCH($P$46,O14,0),0),0)</f>
        <v>0</v>
      </c>
      <c r="O46" s="3">
        <f ca="1">IFERROR(IF(N46=1,(IF((U14+V14)&gt;=1,1,0)),0),0)</f>
        <v>0</v>
      </c>
      <c r="P46" s="3" t="str">
        <f>HOME!$T$3</f>
        <v>Mon</v>
      </c>
      <c r="R46" s="3" t="str">
        <f ca="1">IFERROR(IF(LEN(R14)&gt;=7,R14,IF(LEN(R14)&gt;=0,P14,"")),"")</f>
        <v>दाल-रोटी</v>
      </c>
      <c r="U46" s="3">
        <f ca="1">SUMIFS(U14:U44,R46:R76,$F$27)+SUMIFS(U14:U44,R46:R76,$F$29)</f>
        <v>0</v>
      </c>
      <c r="V46" s="3">
        <f ca="1">SUMIFS(V14:V44,R46:R76,$F$27)+SUMIFS(V14:V44,R46:R76,$F$29)</f>
        <v>0</v>
      </c>
      <c r="W46" s="3">
        <f>SUM(W14:W44)</f>
        <v>0</v>
      </c>
      <c r="X46" s="3">
        <f>SUM(X14:X44)</f>
        <v>0</v>
      </c>
      <c r="Y46" s="3">
        <f>SUM(Y14:Y44)</f>
        <v>0</v>
      </c>
      <c r="Z46" s="3">
        <f>SUM(Z14:Z44)</f>
        <v>0</v>
      </c>
      <c r="AB46" s="3">
        <f>SUMIFS(AB$14:AB$44,AA$14:AA$44,$C$4)</f>
        <v>0</v>
      </c>
      <c r="AC46" s="3">
        <f>SUMIFS(AC$14:AC$44,AA$14:AA$44,$C$4)</f>
        <v>0</v>
      </c>
      <c r="AD46" s="3">
        <f>SUMIFS(AD$14:AD$44,AA$14:AA$44,$C$4)</f>
        <v>0</v>
      </c>
      <c r="AE46" s="3">
        <f>SUMIFS(AE$14:AE$44,AA$14:AA$44,$C$4)</f>
        <v>0</v>
      </c>
      <c r="AF46" s="3">
        <f>SUMIFS(AF$14:AF$44,AA$14:AA$44,$C$4)</f>
        <v>0</v>
      </c>
      <c r="AG46" s="3">
        <f>SUMIFS(AG$14:AG$44,AA$14:AA$44,$C$4)</f>
        <v>0</v>
      </c>
      <c r="AH46" s="3">
        <f>SUMIFS(AH$14:AH$44,AA$14:AA$44,$C$4)</f>
        <v>0</v>
      </c>
      <c r="AI46" s="3">
        <f>SUMIFS(AI$14:AI$44,AA$14:AA$44,$C$4)</f>
        <v>0</v>
      </c>
      <c r="AJ46" s="3">
        <f>SUMIFS(AJ$14:AJ$44,AA$14:AA$44,$C$4)</f>
        <v>0</v>
      </c>
      <c r="AK46" s="3">
        <f>SUMIFS(AK$14:AK$44,AA$14:AA$44,$C$4)</f>
        <v>0</v>
      </c>
      <c r="AM46" s="3">
        <f t="shared" ref="AM46:CK61" ca="1" si="37">IFERROR(IF(AM14&gt;=$I$14,MATCH($P$46,AN14,0),0),0)</f>
        <v>0</v>
      </c>
      <c r="AN46" s="3">
        <f t="shared" ref="AN46" ca="1" si="38">IFERROR(IF(AM46=1,(IF((AT14+AU14)&gt;=1,1,0)),0),0)</f>
        <v>0</v>
      </c>
      <c r="AO46" s="3" t="str">
        <f>HOME!$T$3</f>
        <v>Mon</v>
      </c>
      <c r="AQ46" s="3" t="str">
        <f t="shared" ref="AQ46:AQ76" ca="1" si="39">IFERROR(IF(LEN(AQ14)&gt;=7,AQ14,IF(LEN(AQ14)&gt;=0,AO14,"")),"")</f>
        <v>सब्जी-रोटी</v>
      </c>
      <c r="AT46" s="3">
        <f t="shared" ref="AT46" ca="1" si="40">SUMIFS(AT14:AT44,AQ46:AQ76,$F$27)+SUMIFS(AT14:AT44,AQ46:AQ76,$F$29)</f>
        <v>0</v>
      </c>
      <c r="AU46" s="3">
        <f t="shared" ref="AU46" ca="1" si="41">SUMIFS(AU14:AU44,AQ46:AQ76,$F$27)+SUMIFS(AU14:AU44,AQ46:AQ76,$F$29)</f>
        <v>0</v>
      </c>
      <c r="AV46" s="3">
        <f t="shared" ref="AV46:AY46" si="42">SUM(AV14:AV44)</f>
        <v>0</v>
      </c>
      <c r="AW46" s="3">
        <f t="shared" si="42"/>
        <v>0</v>
      </c>
      <c r="AX46" s="3">
        <f t="shared" si="42"/>
        <v>0</v>
      </c>
      <c r="AY46" s="3">
        <f t="shared" si="42"/>
        <v>0</v>
      </c>
      <c r="BA46" s="3">
        <f t="shared" ref="BA46" si="43">SUMIFS(BA$14:BA$44,AZ$14:AZ$44,$C$4)</f>
        <v>0</v>
      </c>
      <c r="BB46" s="3">
        <f t="shared" ref="BB46" si="44">SUMIFS(BB$14:BB$44,AZ$14:AZ$44,$C$4)</f>
        <v>0</v>
      </c>
      <c r="BC46" s="3">
        <f t="shared" ref="BC46" si="45">SUMIFS(BC$14:BC$44,AZ$14:AZ$44,$C$4)</f>
        <v>0</v>
      </c>
      <c r="BD46" s="3">
        <f t="shared" ref="BD46" si="46">SUMIFS(BD$14:BD$44,AZ$14:AZ$44,$C$4)</f>
        <v>0</v>
      </c>
      <c r="BE46" s="3">
        <f t="shared" ref="BE46" si="47">SUMIFS(BE$14:BE$44,AZ$14:AZ$44,$C$4)</f>
        <v>0</v>
      </c>
      <c r="BF46" s="3">
        <f t="shared" ref="BF46" si="48">SUMIFS(BF$14:BF$44,AZ$14:AZ$44,$C$4)</f>
        <v>0</v>
      </c>
      <c r="BG46" s="3">
        <f t="shared" ref="BG46" si="49">SUMIFS(BG$14:BG$44,AZ$14:AZ$44,$C$4)</f>
        <v>0</v>
      </c>
      <c r="BH46" s="3">
        <f t="shared" ref="BH46" si="50">SUMIFS(BH$14:BH$44,AZ$14:AZ$44,$C$4)</f>
        <v>0</v>
      </c>
      <c r="BI46" s="3">
        <f t="shared" ref="BI46" si="51">SUMIFS(BI$14:BI$44,AZ$14:AZ$44,$C$4)</f>
        <v>0</v>
      </c>
      <c r="BJ46" s="3">
        <f t="shared" ref="BJ46" si="52">SUMIFS(BJ$14:BJ$44,AZ$14:AZ$44,$C$4)</f>
        <v>0</v>
      </c>
      <c r="BL46" s="3">
        <f t="shared" ref="BL46" ca="1" si="53">IFERROR(IF(BL14&gt;=$I$14,MATCH($P$46,BM14,0),0),0)</f>
        <v>1</v>
      </c>
      <c r="BM46" s="3">
        <f t="shared" ref="BM46" ca="1" si="54">IFERROR(IF(BL46=1,(IF((BS14+BT14)&gt;=1,1,0)),0),0)</f>
        <v>0</v>
      </c>
      <c r="BN46" s="3" t="str">
        <f>HOME!$T$3</f>
        <v>Mon</v>
      </c>
      <c r="BP46" s="3" t="str">
        <f t="shared" ref="BP46:BP76" ca="1" si="55">IFERROR(IF(LEN(BP14)&gt;=7,BP14,IF(LEN(BP14)&gt;=0,BN14,"")),"")</f>
        <v>सब्जी-रोटी</v>
      </c>
      <c r="BS46" s="3">
        <f t="shared" ref="BS46" ca="1" si="56">SUMIFS(BS14:BS44,BP46:BP76,$F$27)+SUMIFS(BS14:BS44,BP46:BP76,$F$29)</f>
        <v>0</v>
      </c>
      <c r="BT46" s="3">
        <f t="shared" ref="BT46" ca="1" si="57">SUMIFS(BT14:BT44,BP46:BP76,$F$27)+SUMIFS(BT14:BT44,BP46:BP76,$F$29)</f>
        <v>0</v>
      </c>
      <c r="BU46" s="3">
        <f t="shared" ref="BU46:BX46" si="58">SUM(BU14:BU44)</f>
        <v>0</v>
      </c>
      <c r="BV46" s="3">
        <f t="shared" si="58"/>
        <v>0</v>
      </c>
      <c r="BW46" s="3">
        <f t="shared" si="58"/>
        <v>0</v>
      </c>
      <c r="BX46" s="3">
        <f t="shared" si="58"/>
        <v>0</v>
      </c>
      <c r="BZ46" s="3">
        <f t="shared" ref="BZ46" si="59">SUMIFS(BZ$14:BZ$44,BY$14:BY$44,$C$4)</f>
        <v>0</v>
      </c>
      <c r="CA46" s="3">
        <f t="shared" ref="CA46" si="60">SUMIFS(CA$14:CA$44,BY$14:BY$44,$C$4)</f>
        <v>0</v>
      </c>
      <c r="CB46" s="3">
        <f t="shared" ref="CB46" si="61">SUMIFS(CB$14:CB$44,BY$14:BY$44,$C$4)</f>
        <v>0</v>
      </c>
      <c r="CC46" s="3">
        <f t="shared" ref="CC46" si="62">SUMIFS(CC$14:CC$44,BY$14:BY$44,$C$4)</f>
        <v>0</v>
      </c>
      <c r="CD46" s="3">
        <f t="shared" ref="CD46" si="63">SUMIFS(CD$14:CD$44,BY$14:BY$44,$C$4)</f>
        <v>0</v>
      </c>
      <c r="CE46" s="3">
        <f t="shared" ref="CE46" si="64">SUMIFS(CE$14:CE$44,BY$14:BY$44,$C$4)</f>
        <v>0</v>
      </c>
      <c r="CF46" s="3">
        <f t="shared" ref="CF46" si="65">SUMIFS(CF$14:CF$44,BY$14:BY$44,$C$4)</f>
        <v>0</v>
      </c>
      <c r="CG46" s="3">
        <f t="shared" ref="CG46" si="66">SUMIFS(CG$14:CG$44,BY$14:BY$44,$C$4)</f>
        <v>0</v>
      </c>
      <c r="CH46" s="3">
        <f t="shared" ref="CH46" si="67">SUMIFS(CH$14:CH$44,BY$14:BY$44,$C$4)</f>
        <v>0</v>
      </c>
      <c r="CI46" s="3">
        <f t="shared" ref="CI46" si="68">SUMIFS(CI$14:CI$44,BY$14:BY$44,$C$4)</f>
        <v>0</v>
      </c>
      <c r="CK46" s="3">
        <f t="shared" ref="CK46" ca="1" si="69">IFERROR(IF(CK14&gt;=$I$14,MATCH($P$46,CL14,0),0),0)</f>
        <v>0</v>
      </c>
      <c r="CL46" s="3">
        <f t="shared" ref="CL46" ca="1" si="70">IFERROR(IF(CK46=1,(IF((CR14+CS14)&gt;=1,1,0)),0),0)</f>
        <v>0</v>
      </c>
      <c r="CM46" s="3" t="str">
        <f>HOME!$T$3</f>
        <v>Mon</v>
      </c>
      <c r="CO46" s="3" t="str">
        <f t="shared" ref="CO46:CO76" ca="1" si="71">IFERROR(IF(LEN(CO14)&gt;=7,CO14,IF(LEN(CO14)&gt;=0,CM14,"")),"")</f>
        <v>खिचड़ी-सब्जी</v>
      </c>
      <c r="CR46" s="3">
        <f t="shared" ref="CR46" ca="1" si="72">SUMIFS(CR14:CR44,CO46:CO76,$F$27)+SUMIFS(CR14:CR44,CO46:CO76,$F$29)</f>
        <v>0</v>
      </c>
      <c r="CS46" s="3">
        <f t="shared" ref="CS46" ca="1" si="73">SUMIFS(CS14:CS44,CO46:CO76,$F$27)+SUMIFS(CS14:CS44,CO46:CO76,$F$29)</f>
        <v>0</v>
      </c>
      <c r="CT46" s="3">
        <f t="shared" ref="CT46:CW46" si="74">SUM(CT14:CT44)</f>
        <v>0</v>
      </c>
      <c r="CU46" s="3">
        <f t="shared" si="74"/>
        <v>0</v>
      </c>
      <c r="CV46" s="3">
        <f t="shared" si="74"/>
        <v>0</v>
      </c>
      <c r="CW46" s="3">
        <f t="shared" si="74"/>
        <v>0</v>
      </c>
      <c r="CY46" s="3">
        <f t="shared" ref="CY46" si="75">SUMIFS(CY$14:CY$44,CX$14:CX$44,$C$4)</f>
        <v>0</v>
      </c>
      <c r="CZ46" s="3">
        <f t="shared" ref="CZ46" si="76">SUMIFS(CZ$14:CZ$44,CX$14:CX$44,$C$4)</f>
        <v>0</v>
      </c>
      <c r="DA46" s="3">
        <f t="shared" ref="DA46" si="77">SUMIFS(DA$14:DA$44,CX$14:CX$44,$C$4)</f>
        <v>0</v>
      </c>
      <c r="DB46" s="3">
        <f t="shared" ref="DB46" si="78">SUMIFS(DB$14:DB$44,CX$14:CX$44,$C$4)</f>
        <v>0</v>
      </c>
      <c r="DC46" s="3">
        <f t="shared" ref="DC46" si="79">SUMIFS(DC$14:DC$44,CX$14:CX$44,$C$4)</f>
        <v>0</v>
      </c>
      <c r="DD46" s="3">
        <f t="shared" ref="DD46" si="80">SUMIFS(DD$14:DD$44,CX$14:CX$44,$C$4)</f>
        <v>0</v>
      </c>
      <c r="DE46" s="3">
        <f t="shared" ref="DE46" si="81">SUMIFS(DE$14:DE$44,CX$14:CX$44,$C$4)</f>
        <v>0</v>
      </c>
      <c r="DF46" s="3">
        <f t="shared" ref="DF46" si="82">SUMIFS(DF$14:DF$44,CX$14:CX$44,$C$4)</f>
        <v>0</v>
      </c>
      <c r="DG46" s="3">
        <f t="shared" ref="DG46" si="83">SUMIFS(DG$14:DG$44,CX$14:CX$44,$C$4)</f>
        <v>0</v>
      </c>
      <c r="DH46" s="3">
        <f t="shared" ref="DH46" si="84">SUMIFS(DH$14:DH$44,CX$14:CX$44,$C$4)</f>
        <v>0</v>
      </c>
      <c r="DJ46" s="3">
        <f t="shared" ref="DJ46:EI61" ca="1" si="85">IFERROR(IF(DJ14&gt;=$I$14,MATCH($P$46,DK14,0),0),0)</f>
        <v>0</v>
      </c>
      <c r="DK46" s="3">
        <f t="shared" ref="DK46" ca="1" si="86">IFERROR(IF(DJ46=1,(IF((DQ14+DR14)&gt;=1,1,0)),0),0)</f>
        <v>0</v>
      </c>
      <c r="DL46" s="3" t="str">
        <f>HOME!$T$3</f>
        <v>Mon</v>
      </c>
      <c r="DN46" s="3">
        <f t="shared" ref="DN46:DN76" ca="1" si="87">IFERROR(IF(LEN(DN14)&gt;=7,DN14,IF(LEN(DN14)&gt;=0,DL14,"")),"")</f>
        <v>0</v>
      </c>
      <c r="DQ46" s="3">
        <f t="shared" ref="DQ46" ca="1" si="88">SUMIFS(DQ14:DQ44,DN46:DN76,$F$27)+SUMIFS(DQ14:DQ44,DN46:DN76,$F$29)</f>
        <v>0</v>
      </c>
      <c r="DR46" s="3">
        <f t="shared" ref="DR46" ca="1" si="89">SUMIFS(DR14:DR44,DN46:DN76,$F$27)+SUMIFS(DR14:DR44,DN46:DN76,$F$29)</f>
        <v>0</v>
      </c>
      <c r="DS46" s="3">
        <f t="shared" ref="DS46:DV46" si="90">SUM(DS14:DS44)</f>
        <v>0</v>
      </c>
      <c r="DT46" s="3">
        <f t="shared" si="90"/>
        <v>0</v>
      </c>
      <c r="DU46" s="3">
        <f t="shared" si="90"/>
        <v>0</v>
      </c>
      <c r="DV46" s="3">
        <f t="shared" si="90"/>
        <v>0</v>
      </c>
      <c r="DX46" s="3">
        <f t="shared" ref="DX46" si="91">SUMIFS(DX$14:DX$44,DW$14:DW$44,$C$4)</f>
        <v>0</v>
      </c>
      <c r="DY46" s="3">
        <f t="shared" ref="DY46" si="92">SUMIFS(DY$14:DY$44,DW$14:DW$44,$C$4)</f>
        <v>0</v>
      </c>
      <c r="DZ46" s="3">
        <f t="shared" ref="DZ46" si="93">SUMIFS(DZ$14:DZ$44,DW$14:DW$44,$C$4)</f>
        <v>0</v>
      </c>
      <c r="EA46" s="3">
        <f t="shared" ref="EA46" si="94">SUMIFS(EA$14:EA$44,DW$14:DW$44,$C$4)</f>
        <v>0</v>
      </c>
      <c r="EB46" s="3">
        <f t="shared" ref="EB46" si="95">SUMIFS(EB$14:EB$44,DW$14:DW$44,$C$4)</f>
        <v>0</v>
      </c>
      <c r="EC46" s="3">
        <f t="shared" ref="EC46" si="96">SUMIFS(EC$14:EC$44,DW$14:DW$44,$C$4)</f>
        <v>0</v>
      </c>
      <c r="ED46" s="3">
        <f t="shared" ref="ED46" si="97">SUMIFS(ED$14:ED$44,DW$14:DW$44,$C$4)</f>
        <v>0</v>
      </c>
      <c r="EE46" s="3">
        <f t="shared" ref="EE46" si="98">SUMIFS(EE$14:EE$44,DW$14:DW$44,$C$4)</f>
        <v>0</v>
      </c>
      <c r="EF46" s="3">
        <f t="shared" ref="EF46" si="99">SUMIFS(EF$14:EF$44,DW$14:DW$44,$C$4)</f>
        <v>0</v>
      </c>
      <c r="EG46" s="3">
        <f t="shared" ref="EG46" si="100">SUMIFS(EG$14:EG$44,DW$14:DW$44,$C$4)</f>
        <v>0</v>
      </c>
      <c r="EI46" s="3">
        <f t="shared" ref="EI46" ca="1" si="101">IFERROR(IF(EI14&gt;=$I$14,MATCH($P$46,EJ14,0),0),0)</f>
        <v>0</v>
      </c>
      <c r="EJ46" s="3">
        <f t="shared" ref="EJ46" ca="1" si="102">IFERROR(IF(EI46=1,(IF((EP14+EQ14)&gt;=1,1,0)),0),0)</f>
        <v>0</v>
      </c>
      <c r="EK46" s="3" t="str">
        <f>HOME!$T$3</f>
        <v>Mon</v>
      </c>
      <c r="EM46" s="3" t="str">
        <f t="shared" ref="EM46:EM76" ca="1" si="103">IFERROR(IF(LEN(EM14)&gt;=7,EM14,IF(LEN(EM14)&gt;=0,EK14,"")),"")</f>
        <v>दाल-चावल</v>
      </c>
      <c r="EP46" s="3">
        <f t="shared" ref="EP46" ca="1" si="104">SUMIFS(EP14:EP44,EM46:EM76,$F$27)+SUMIFS(EP14:EP44,EM46:EM76,$F$29)</f>
        <v>0</v>
      </c>
      <c r="EQ46" s="3">
        <f t="shared" ref="EQ46" ca="1" si="105">SUMIFS(EQ14:EQ44,EM46:EM76,$F$27)+SUMIFS(EQ14:EQ44,EM46:EM76,$F$29)</f>
        <v>0</v>
      </c>
      <c r="ER46" s="3">
        <f t="shared" ref="ER46:EU46" si="106">SUM(ER14:ER44)</f>
        <v>0</v>
      </c>
      <c r="ES46" s="3">
        <f t="shared" si="106"/>
        <v>0</v>
      </c>
      <c r="ET46" s="3">
        <f t="shared" si="106"/>
        <v>0</v>
      </c>
      <c r="EU46" s="3">
        <f t="shared" si="106"/>
        <v>0</v>
      </c>
      <c r="EW46" s="3">
        <f t="shared" ref="EW46" si="107">SUMIFS(EW$14:EW$44,EV$14:EV$44,$C$4)</f>
        <v>0</v>
      </c>
      <c r="EX46" s="3">
        <f t="shared" ref="EX46" si="108">SUMIFS(EX$14:EX$44,EV$14:EV$44,$C$4)</f>
        <v>0</v>
      </c>
      <c r="EY46" s="3">
        <f t="shared" ref="EY46" si="109">SUMIFS(EY$14:EY$44,EV$14:EV$44,$C$4)</f>
        <v>0</v>
      </c>
      <c r="EZ46" s="3">
        <f t="shared" ref="EZ46" si="110">SUMIFS(EZ$14:EZ$44,EV$14:EV$44,$C$4)</f>
        <v>0</v>
      </c>
      <c r="FA46" s="3">
        <f t="shared" ref="FA46" si="111">SUMIFS(FA$14:FA$44,EV$14:EV$44,$C$4)</f>
        <v>0</v>
      </c>
      <c r="FB46" s="3">
        <f t="shared" ref="FB46" si="112">SUMIFS(FB$14:FB$44,EV$14:EV$44,$C$4)</f>
        <v>0</v>
      </c>
      <c r="FC46" s="3">
        <f t="shared" ref="FC46" si="113">SUMIFS(FC$14:FC$44,EV$14:EV$44,$C$4)</f>
        <v>0</v>
      </c>
      <c r="FD46" s="3">
        <f t="shared" ref="FD46" si="114">SUMIFS(FD$14:FD$44,EV$14:EV$44,$C$4)</f>
        <v>0</v>
      </c>
      <c r="FE46" s="3">
        <f t="shared" ref="FE46" si="115">SUMIFS(FE$14:FE$44,EV$14:EV$44,$C$4)</f>
        <v>0</v>
      </c>
      <c r="FF46" s="3">
        <f t="shared" ref="FF46" si="116">SUMIFS(FF$14:FF$44,EV$14:EV$44,$C$4)</f>
        <v>0</v>
      </c>
      <c r="FH46" s="3">
        <f t="shared" ref="FH46:GG61" ca="1" si="117">IFERROR(IF(FH14&gt;=$I$14,MATCH($P$46,FI14,0),0),0)</f>
        <v>0</v>
      </c>
      <c r="FI46" s="3">
        <f t="shared" ref="FI46" ca="1" si="118">IFERROR(IF(FH46=1,(IF((FO14+FP14)&gt;=1,1,0)),0),0)</f>
        <v>0</v>
      </c>
      <c r="FJ46" s="3" t="str">
        <f>HOME!$T$3</f>
        <v>Mon</v>
      </c>
      <c r="FL46" s="3" t="str">
        <f t="shared" ref="FL46:FL76" ca="1" si="119">IFERROR(IF(LEN(FL14)&gt;=7,FL14,IF(LEN(FL14)&gt;=0,FJ14,"")),"")</f>
        <v>दाल-रोटी</v>
      </c>
      <c r="FO46" s="3">
        <f t="shared" ref="FO46" ca="1" si="120">SUMIFS(FO14:FO44,FL46:FL76,$F$27)+SUMIFS(FO14:FO44,FL46:FL76,$F$29)</f>
        <v>0</v>
      </c>
      <c r="FP46" s="3">
        <f t="shared" ref="FP46" ca="1" si="121">SUMIFS(FP14:FP44,FL46:FL76,$F$27)+SUMIFS(FP14:FP44,FL46:FL76,$F$29)</f>
        <v>0</v>
      </c>
      <c r="FQ46" s="3">
        <f t="shared" ref="FQ46:FT46" si="122">SUM(FQ14:FQ44)</f>
        <v>0</v>
      </c>
      <c r="FR46" s="3">
        <f t="shared" si="122"/>
        <v>0</v>
      </c>
      <c r="FS46" s="3">
        <f t="shared" si="122"/>
        <v>0</v>
      </c>
      <c r="FT46" s="3">
        <f t="shared" si="122"/>
        <v>0</v>
      </c>
      <c r="FV46" s="3">
        <f t="shared" ref="FV46" si="123">SUMIFS(FV$14:FV$44,FU$14:FU$44,$C$4)</f>
        <v>0</v>
      </c>
      <c r="FW46" s="3">
        <f t="shared" ref="FW46" si="124">SUMIFS(FW$14:FW$44,FU$14:FU$44,$C$4)</f>
        <v>0</v>
      </c>
      <c r="FX46" s="3">
        <f t="shared" ref="FX46" si="125">SUMIFS(FX$14:FX$44,FU$14:FU$44,$C$4)</f>
        <v>0</v>
      </c>
      <c r="FY46" s="3">
        <f t="shared" ref="FY46" si="126">SUMIFS(FY$14:FY$44,FU$14:FU$44,$C$4)</f>
        <v>0</v>
      </c>
      <c r="FZ46" s="3">
        <f t="shared" ref="FZ46" si="127">SUMIFS(FZ$14:FZ$44,FU$14:FU$44,$C$4)</f>
        <v>0</v>
      </c>
      <c r="GA46" s="3">
        <f t="shared" ref="GA46" si="128">SUMIFS(GA$14:GA$44,FU$14:FU$44,$C$4)</f>
        <v>0</v>
      </c>
      <c r="GB46" s="3">
        <f t="shared" ref="GB46" si="129">SUMIFS(GB$14:GB$44,FU$14:FU$44,$C$4)</f>
        <v>0</v>
      </c>
      <c r="GC46" s="3">
        <f t="shared" ref="GC46" si="130">SUMIFS(GC$14:GC$44,FU$14:FU$44,$C$4)</f>
        <v>0</v>
      </c>
      <c r="GD46" s="3">
        <f t="shared" ref="GD46" si="131">SUMIFS(GD$14:GD$44,FU$14:FU$44,$C$4)</f>
        <v>0</v>
      </c>
      <c r="GE46" s="3">
        <f t="shared" ref="GE46" si="132">SUMIFS(GE$14:GE$44,FU$14:FU$44,$C$4)</f>
        <v>0</v>
      </c>
      <c r="GG46" s="3">
        <f t="shared" ref="GG46" ca="1" si="133">IFERROR(IF(GG14&gt;=$I$14,MATCH($P$46,GH14,0),0),0)</f>
        <v>0</v>
      </c>
      <c r="GH46" s="3">
        <f t="shared" ref="GH46" ca="1" si="134">IFERROR(IF(GG46=1,(IF((GN14+GO14)&gt;=1,1,0)),0),0)</f>
        <v>0</v>
      </c>
      <c r="GI46" s="3" t="str">
        <f>HOME!$T$3</f>
        <v>Mon</v>
      </c>
      <c r="GK46" s="3">
        <f t="shared" ref="GK46:GK76" ca="1" si="135">IFERROR(IF(LEN(GK14)&gt;=7,GK14,IF(LEN(GK14)&gt;=0,GI14,"")),"")</f>
        <v>0</v>
      </c>
      <c r="GN46" s="3">
        <f t="shared" ref="GN46" ca="1" si="136">SUMIFS(GN14:GN44,GK46:GK76,$F$27)+SUMIFS(GN14:GN44,GK46:GK76,$F$29)</f>
        <v>0</v>
      </c>
      <c r="GO46" s="3">
        <f t="shared" ref="GO46" ca="1" si="137">SUMIFS(GO14:GO44,GK46:GK76,$F$27)+SUMIFS(GO14:GO44,GK46:GK76,$F$29)</f>
        <v>0</v>
      </c>
      <c r="GP46" s="3">
        <f t="shared" ref="GP46:GS46" si="138">SUM(GP14:GP44)</f>
        <v>0</v>
      </c>
      <c r="GQ46" s="3">
        <f t="shared" si="138"/>
        <v>0</v>
      </c>
      <c r="GR46" s="3">
        <f t="shared" si="138"/>
        <v>0</v>
      </c>
      <c r="GS46" s="3">
        <f t="shared" si="138"/>
        <v>0</v>
      </c>
      <c r="GU46" s="3">
        <f t="shared" ref="GU46" si="139">SUMIFS(GU$14:GU$44,GT$14:GT$44,$C$4)</f>
        <v>0</v>
      </c>
      <c r="GV46" s="3">
        <f t="shared" ref="GV46" si="140">SUMIFS(GV$14:GV$44,GT$14:GT$44,$C$4)</f>
        <v>0</v>
      </c>
      <c r="GW46" s="3">
        <f t="shared" ref="GW46" si="141">SUMIFS(GW$14:GW$44,GT$14:GT$44,$C$4)</f>
        <v>0</v>
      </c>
      <c r="GX46" s="3">
        <f t="shared" ref="GX46" si="142">SUMIFS(GX$14:GX$44,GT$14:GT$44,$C$4)</f>
        <v>0</v>
      </c>
      <c r="GY46" s="3">
        <f t="shared" ref="GY46" si="143">SUMIFS(GY$14:GY$44,GT$14:GT$44,$C$4)</f>
        <v>0</v>
      </c>
      <c r="GZ46" s="3">
        <f t="shared" ref="GZ46" si="144">SUMIFS(GZ$14:GZ$44,GT$14:GT$44,$C$4)</f>
        <v>0</v>
      </c>
      <c r="HA46" s="3">
        <f t="shared" ref="HA46" si="145">SUMIFS(HA$14:HA$44,GT$14:GT$44,$C$4)</f>
        <v>0</v>
      </c>
      <c r="HB46" s="3">
        <f t="shared" ref="HB46" si="146">SUMIFS(HB$14:HB$44,GT$14:GT$44,$C$4)</f>
        <v>0</v>
      </c>
      <c r="HC46" s="3">
        <f t="shared" ref="HC46" si="147">SUMIFS(HC$14:HC$44,GT$14:GT$44,$C$4)</f>
        <v>0</v>
      </c>
      <c r="HD46" s="3">
        <f t="shared" ref="HD46" si="148">SUMIFS(HD$14:HD$44,GT$14:GT$44,$C$4)</f>
        <v>0</v>
      </c>
      <c r="HF46" s="3">
        <f t="shared" ref="HF46:IE61" ca="1" si="149">IFERROR(IF(HF14&gt;=$I$14,MATCH($P$46,HG14,0),0),0)</f>
        <v>0</v>
      </c>
      <c r="HG46" s="3">
        <f t="shared" ref="HG46" ca="1" si="150">IFERROR(IF(HF46=1,(IF((HM14+HN14)&gt;=1,1,0)),0),0)</f>
        <v>0</v>
      </c>
      <c r="HH46" s="3" t="str">
        <f>HOME!$T$3</f>
        <v>Mon</v>
      </c>
      <c r="HJ46" s="3" t="str">
        <f t="shared" ref="HJ46:HJ76" ca="1" si="151">IFERROR(IF(LEN(HJ14)&gt;=7,HJ14,IF(LEN(HJ14)&gt;=0,HH14,"")),"")</f>
        <v>दाल-रोटी</v>
      </c>
      <c r="HM46" s="3">
        <f t="shared" ref="HM46" ca="1" si="152">SUMIFS(HM14:HM44,HJ46:HJ76,$F$27)+SUMIFS(HM14:HM44,HJ46:HJ76,$F$29)</f>
        <v>0</v>
      </c>
      <c r="HN46" s="3">
        <f t="shared" ref="HN46" ca="1" si="153">SUMIFS(HN14:HN44,HJ46:HJ76,$F$27)+SUMIFS(HN14:HN44,HJ46:HJ76,$F$29)</f>
        <v>0</v>
      </c>
      <c r="HO46" s="3">
        <f t="shared" ref="HO46:HR46" si="154">SUM(HO14:HO44)</f>
        <v>0</v>
      </c>
      <c r="HP46" s="3">
        <f t="shared" si="154"/>
        <v>0</v>
      </c>
      <c r="HQ46" s="3">
        <f t="shared" si="154"/>
        <v>0</v>
      </c>
      <c r="HR46" s="3">
        <f t="shared" si="154"/>
        <v>0</v>
      </c>
      <c r="HT46" s="3">
        <f t="shared" ref="HT46" si="155">SUMIFS(HT$14:HT$44,HS$14:HS$44,$C$4)</f>
        <v>0</v>
      </c>
      <c r="HU46" s="3">
        <f t="shared" ref="HU46" si="156">SUMIFS(HU$14:HU$44,HS$14:HS$44,$C$4)</f>
        <v>0</v>
      </c>
      <c r="HV46" s="3">
        <f t="shared" ref="HV46" si="157">SUMIFS(HV$14:HV$44,HS$14:HS$44,$C$4)</f>
        <v>0</v>
      </c>
      <c r="HW46" s="3">
        <f t="shared" ref="HW46" si="158">SUMIFS(HW$14:HW$44,HS$14:HS$44,$C$4)</f>
        <v>0</v>
      </c>
      <c r="HX46" s="3">
        <f t="shared" ref="HX46" si="159">SUMIFS(HX$14:HX$44,HS$14:HS$44,$C$4)</f>
        <v>0</v>
      </c>
      <c r="HY46" s="3">
        <f t="shared" ref="HY46" si="160">SUMIFS(HY$14:HY$44,HS$14:HS$44,$C$4)</f>
        <v>0</v>
      </c>
      <c r="HZ46" s="3">
        <f t="shared" ref="HZ46" si="161">SUMIFS(HZ$14:HZ$44,HS$14:HS$44,$C$4)</f>
        <v>0</v>
      </c>
      <c r="IA46" s="3">
        <f t="shared" ref="IA46" si="162">SUMIFS(IA$14:IA$44,HS$14:HS$44,$C$4)</f>
        <v>0</v>
      </c>
      <c r="IB46" s="3">
        <f t="shared" ref="IB46" si="163">SUMIFS(IB$14:IB$44,HS$14:HS$44,$C$4)</f>
        <v>0</v>
      </c>
      <c r="IC46" s="3">
        <f t="shared" ref="IC46" si="164">SUMIFS(IC$14:IC$44,HS$14:HS$44,$C$4)</f>
        <v>0</v>
      </c>
      <c r="IE46" s="3">
        <f t="shared" ref="IE46" ca="1" si="165">IFERROR(IF(IE14&gt;=$I$14,MATCH($P$46,IF14,0),0),0)</f>
        <v>0</v>
      </c>
      <c r="IF46" s="3">
        <f t="shared" ref="IF46" ca="1" si="166">IFERROR(IF(IE46=1,(IF((IL14+IM14)&gt;=1,1,0)),0),0)</f>
        <v>0</v>
      </c>
      <c r="IG46" s="3" t="str">
        <f>HOME!$T$3</f>
        <v>Mon</v>
      </c>
      <c r="II46" s="3" t="str">
        <f t="shared" ref="II46:II76" ca="1" si="167">IFERROR(IF(LEN(II14)&gt;=7,II14,IF(LEN(II14)&gt;=0,IG14,"")),"")</f>
        <v/>
      </c>
      <c r="IL46" s="3">
        <f t="shared" ref="IL46" ca="1" si="168">SUMIFS(IL14:IL44,II46:II76,$F$27)+SUMIFS(IL14:IL44,II46:II76,$F$29)</f>
        <v>0</v>
      </c>
      <c r="IM46" s="3">
        <f t="shared" ref="IM46" ca="1" si="169">SUMIFS(IM14:IM44,II46:II76,$F$27)+SUMIFS(IM14:IM44,II46:II76,$F$29)</f>
        <v>0</v>
      </c>
      <c r="IN46" s="3">
        <f t="shared" ref="IN46:IQ46" si="170">SUM(IN14:IN44)</f>
        <v>0</v>
      </c>
      <c r="IO46" s="3">
        <f t="shared" si="170"/>
        <v>0</v>
      </c>
      <c r="IP46" s="3">
        <f t="shared" si="170"/>
        <v>0</v>
      </c>
      <c r="IQ46" s="3">
        <f t="shared" si="170"/>
        <v>0</v>
      </c>
      <c r="IS46" s="3">
        <f t="shared" ref="IS46" si="171">SUMIFS(IS$14:IS$44,IR$14:IR$44,$C$4)</f>
        <v>0</v>
      </c>
      <c r="IT46" s="3">
        <f t="shared" ref="IT46" si="172">SUMIFS(IT$14:IT$44,IR$14:IR$44,$C$4)</f>
        <v>0</v>
      </c>
      <c r="IU46" s="3">
        <f t="shared" ref="IU46" si="173">SUMIFS(IU$14:IU$44,IR$14:IR$44,$C$4)</f>
        <v>0</v>
      </c>
      <c r="IV46" s="3">
        <f t="shared" ref="IV46" si="174">SUMIFS(IV$14:IV$44,IR$14:IR$44,$C$4)</f>
        <v>0</v>
      </c>
      <c r="IW46" s="3">
        <f t="shared" ref="IW46" si="175">SUMIFS(IW$14:IW$44,IR$14:IR$44,$C$4)</f>
        <v>0</v>
      </c>
      <c r="IX46" s="3">
        <f t="shared" ref="IX46" si="176">SUMIFS(IX$14:IX$44,IR$14:IR$44,$C$4)</f>
        <v>0</v>
      </c>
      <c r="IY46" s="3">
        <f t="shared" ref="IY46" si="177">SUMIFS(IY$14:IY$44,IR$14:IR$44,$C$4)</f>
        <v>0</v>
      </c>
      <c r="IZ46" s="3">
        <f t="shared" ref="IZ46" si="178">SUMIFS(IZ$14:IZ$44,IR$14:IR$44,$C$4)</f>
        <v>0</v>
      </c>
      <c r="JA46" s="3">
        <f t="shared" ref="JA46" si="179">SUMIFS(JA$14:JA$44,IR$14:IR$44,$C$4)</f>
        <v>0</v>
      </c>
      <c r="JB46" s="3">
        <f t="shared" ref="JB46" si="180">SUMIFS(JB$14:JB$44,IR$14:IR$44,$C$4)</f>
        <v>0</v>
      </c>
      <c r="JD46" s="3">
        <f t="shared" ref="JD46:KC61" ca="1" si="181">IFERROR(IF(JD14&gt;=$I$14,MATCH($P$46,JE14,0),0),0)</f>
        <v>0</v>
      </c>
      <c r="JE46" s="3">
        <f t="shared" ref="JE46" ca="1" si="182">IFERROR(IF(JD46=1,(IF((JK14+JL14)&gt;=1,1,0)),0),0)</f>
        <v>0</v>
      </c>
      <c r="JF46" s="3" t="str">
        <f>HOME!$T$3</f>
        <v>Mon</v>
      </c>
      <c r="JH46" s="3" t="str">
        <f t="shared" ref="JH46:JH76" ca="1" si="183">IFERROR(IF(LEN(JH14)&gt;=7,JH14,IF(LEN(JH14)&gt;=0,JF14,"")),"")</f>
        <v/>
      </c>
      <c r="JK46" s="3">
        <f t="shared" ref="JK46" ca="1" si="184">SUMIFS(JK14:JK44,JH46:JH76,$F$27)+SUMIFS(JK14:JK44,JH46:JH76,$F$29)</f>
        <v>0</v>
      </c>
      <c r="JL46" s="3">
        <f t="shared" ref="JL46" ca="1" si="185">SUMIFS(JL14:JL44,JH46:JH76,$F$27)+SUMIFS(JL14:JL44,JH46:JH76,$F$29)</f>
        <v>0</v>
      </c>
      <c r="JM46" s="3">
        <f t="shared" ref="JM46:JP46" si="186">SUM(JM14:JM44)</f>
        <v>0</v>
      </c>
      <c r="JN46" s="3">
        <f t="shared" si="186"/>
        <v>0</v>
      </c>
      <c r="JO46" s="3">
        <f t="shared" si="186"/>
        <v>0</v>
      </c>
      <c r="JP46" s="3">
        <f t="shared" si="186"/>
        <v>0</v>
      </c>
      <c r="JR46" s="3">
        <f t="shared" ref="JR46" si="187">SUMIFS(JR$14:JR$44,JQ$14:JQ$44,$C$4)</f>
        <v>0</v>
      </c>
      <c r="JS46" s="3">
        <f t="shared" ref="JS46" si="188">SUMIFS(JS$14:JS$44,JQ$14:JQ$44,$C$4)</f>
        <v>0</v>
      </c>
      <c r="JT46" s="3">
        <f t="shared" ref="JT46" si="189">SUMIFS(JT$14:JT$44,JQ$14:JQ$44,$C$4)</f>
        <v>0</v>
      </c>
      <c r="JU46" s="3">
        <f t="shared" ref="JU46" si="190">SUMIFS(JU$14:JU$44,JQ$14:JQ$44,$C$4)</f>
        <v>0</v>
      </c>
      <c r="JV46" s="3">
        <f t="shared" ref="JV46" si="191">SUMIFS(JV$14:JV$44,JQ$14:JQ$44,$C$4)</f>
        <v>0</v>
      </c>
      <c r="JW46" s="3">
        <f t="shared" ref="JW46" si="192">SUMIFS(JW$14:JW$44,JQ$14:JQ$44,$C$4)</f>
        <v>0</v>
      </c>
      <c r="JX46" s="3">
        <f t="shared" ref="JX46" si="193">SUMIFS(JX$14:JX$44,JQ$14:JQ$44,$C$4)</f>
        <v>0</v>
      </c>
      <c r="JY46" s="3">
        <f t="shared" ref="JY46" si="194">SUMIFS(JY$14:JY$44,JQ$14:JQ$44,$C$4)</f>
        <v>0</v>
      </c>
      <c r="JZ46" s="3">
        <f t="shared" ref="JZ46" si="195">SUMIFS(JZ$14:JZ$44,JQ$14:JQ$44,$C$4)</f>
        <v>0</v>
      </c>
      <c r="KA46" s="3">
        <f t="shared" ref="KA46" si="196">SUMIFS(KA$14:KA$44,JQ$14:JQ$44,$C$4)</f>
        <v>0</v>
      </c>
      <c r="KC46" s="3">
        <f t="shared" ref="KC46" ca="1" si="197">IFERROR(IF(KC14&gt;=$I$14,MATCH($P$46,KD14,0),0),0)</f>
        <v>0</v>
      </c>
      <c r="KD46" s="3">
        <f t="shared" ref="KD46" ca="1" si="198">IFERROR(IF(KC46=1,(IF((KJ14+KK14)&gt;=1,1,0)),0),0)</f>
        <v>0</v>
      </c>
      <c r="KE46" s="3" t="str">
        <f>HOME!$T$3</f>
        <v>Mon</v>
      </c>
      <c r="KG46" s="3" t="str">
        <f t="shared" ref="KG46:KG76" ca="1" si="199">IFERROR(IF(LEN(KG14)&gt;=7,KG14,IF(LEN(KG14)&gt;=0,KE14,"")),"")</f>
        <v/>
      </c>
      <c r="KJ46" s="3">
        <f t="shared" ref="KJ46" ca="1" si="200">SUMIFS(KJ14:KJ44,KG46:KG76,$F$27)+SUMIFS(KJ14:KJ44,KG46:KG76,$F$29)</f>
        <v>0</v>
      </c>
      <c r="KK46" s="3">
        <f t="shared" ref="KK46" ca="1" si="201">SUMIFS(KK14:KK44,KG46:KG76,$F$27)+SUMIFS(KK14:KK44,KG46:KG76,$F$29)</f>
        <v>0</v>
      </c>
      <c r="KL46" s="3">
        <f t="shared" ref="KL46:KO46" si="202">SUM(KL14:KL44)</f>
        <v>0</v>
      </c>
      <c r="KM46" s="3">
        <f t="shared" si="202"/>
        <v>0</v>
      </c>
      <c r="KN46" s="3">
        <f t="shared" si="202"/>
        <v>0</v>
      </c>
      <c r="KO46" s="3">
        <f t="shared" si="202"/>
        <v>0</v>
      </c>
      <c r="KQ46" s="3">
        <f t="shared" ref="KQ46" si="203">SUMIFS(KQ$14:KQ$44,KP$14:KP$44,$C$4)</f>
        <v>0</v>
      </c>
      <c r="KR46" s="3">
        <f t="shared" ref="KR46" si="204">SUMIFS(KR$14:KR$44,KP$14:KP$44,$C$4)</f>
        <v>0</v>
      </c>
      <c r="KS46" s="3">
        <f t="shared" ref="KS46" si="205">SUMIFS(KS$14:KS$44,KP$14:KP$44,$C$4)</f>
        <v>0</v>
      </c>
      <c r="KT46" s="3">
        <f t="shared" ref="KT46" si="206">SUMIFS(KT$14:KT$44,KP$14:KP$44,$C$4)</f>
        <v>0</v>
      </c>
      <c r="KU46" s="3">
        <f t="shared" ref="KU46" si="207">SUMIFS(KU$14:KU$44,KP$14:KP$44,$C$4)</f>
        <v>0</v>
      </c>
      <c r="KV46" s="3">
        <f t="shared" ref="KV46" si="208">SUMIFS(KV$14:KV$44,KP$14:KP$44,$C$4)</f>
        <v>0</v>
      </c>
      <c r="KW46" s="3">
        <f t="shared" ref="KW46" si="209">SUMIFS(KW$14:KW$44,KP$14:KP$44,$C$4)</f>
        <v>0</v>
      </c>
      <c r="KX46" s="3">
        <f t="shared" ref="KX46" si="210">SUMIFS(KX$14:KX$44,KP$14:KP$44,$C$4)</f>
        <v>0</v>
      </c>
      <c r="KY46" s="3">
        <f t="shared" ref="KY46" si="211">SUMIFS(KY$14:KY$44,KP$14:KP$44,$C$4)</f>
        <v>0</v>
      </c>
      <c r="KZ46" s="3">
        <f t="shared" ref="KZ46" si="212">SUMIFS(KZ$14:KZ$44,KP$14:KP$44,$C$4)</f>
        <v>0</v>
      </c>
    </row>
    <row r="47" spans="1:313" hidden="1" x14ac:dyDescent="0.25">
      <c r="N47" s="3">
        <f t="shared" ref="N47:N76" ca="1" si="213">IFERROR(IF(N15&gt;=$I$14,MATCH($P$46,O15,0),0),0)</f>
        <v>0</v>
      </c>
      <c r="O47" s="3">
        <f ca="1">IFERROR(IF(N47=1,(IF((U15+V15)&gt;=1,LARGE(O$46:O46,1)+1,0)),0),0)</f>
        <v>0</v>
      </c>
      <c r="P47" s="3">
        <f ca="1">LARGE(O46:O76,1)</f>
        <v>0</v>
      </c>
      <c r="R47" s="3" t="str">
        <f t="shared" ref="R47:R48" ca="1" si="214">IFERROR(IF(LEN(R15)&gt;=7,R15,IF(LEN(R15)&gt;=0,P15,"")),"")</f>
        <v>खिचड़ी-सब्जी</v>
      </c>
      <c r="U47" s="3">
        <f ca="1">SUMIFS(U14:U44,R46:R76,$F$28)+SUMIFS(U14:U44,R46:R76,$F$30)</f>
        <v>0</v>
      </c>
      <c r="V47" s="3">
        <f ca="1">SUMIFS(V14:V44,R46:R76,$F$28)+SUMIFS(V14:V44,R46:R76,$F$30)</f>
        <v>0</v>
      </c>
      <c r="AB47" s="3">
        <f>SUMIFS(AB$14:AB$44,AA$14:AA$44,$C$5)+SUMIFS(AB$14:AB$44,AA$14:AA$44,$C$6)</f>
        <v>0</v>
      </c>
      <c r="AC47" s="3">
        <f>SUMIFS(AC$14:AC$44,AA$14:AA$44,$C$5)+SUMIFS(AC$14:AC$44,AA$14:AA$44,$C$6)</f>
        <v>0</v>
      </c>
      <c r="AD47" s="3">
        <f>SUMIFS(AD$14:AD$44,AA$14:AA$44,$C$5)+SUMIFS(AD$14:AD$44,AA$14:AA$44,$C$6)</f>
        <v>0</v>
      </c>
      <c r="AE47" s="3">
        <f>SUMIFS(AE$14:AE$44,AA$14:AA$44,$C$5)+SUMIFS(AE$14:AE$44,AA$14:AA$44,$C$6)</f>
        <v>0</v>
      </c>
      <c r="AF47" s="3">
        <f>SUMIFS(AF$14:AF$44,AA$14:AA$44,$C$5)+SUMIFS(AF$14:AF$44,AA$14:AA$44,$C$6)</f>
        <v>0</v>
      </c>
      <c r="AG47" s="3">
        <f>SUMIFS(AG$14:AG$44,AA$14:AA$44,$C$5)+SUMIFS(AG$14:AG$44,AA$14:AA$44,$C$6)</f>
        <v>0</v>
      </c>
      <c r="AH47" s="3">
        <f>SUMIFS(AH$14:AH$44,AA$14:AA$44,$C$5)+SUMIFS(AH$14:AH$44,AA$14:AA$44,$C$6)</f>
        <v>0</v>
      </c>
      <c r="AI47" s="3">
        <f>SUMIFS(AI$14:AI$44,AA$14:AA$44,$C$5)+SUMIFS(AI$14:AI$44,AA$14:AA$44,$C$6)</f>
        <v>0</v>
      </c>
      <c r="AJ47" s="3">
        <f>SUMIFS(AJ$14:AJ$44,AA$14:AA$44,$C$5)+SUMIFS(AJ$14:AJ$44,AA$14:AA$44,$C$6)</f>
        <v>0</v>
      </c>
      <c r="AK47" s="3">
        <f>SUMIFS(AK$14:AK$44,AA$14:AA$44,$C$5)+SUMIFS(AK$14:AK$44,AA$14:AA$44,$C$6)</f>
        <v>0</v>
      </c>
      <c r="AM47" s="3">
        <f t="shared" ca="1" si="37"/>
        <v>0</v>
      </c>
      <c r="AN47" s="3">
        <f ca="1">IFERROR(IF(AM47=1,(IF((AT15+AU15)&gt;=1,LARGE(AN$46:AN46,1)+1,0)),0),0)</f>
        <v>0</v>
      </c>
      <c r="AO47" s="3">
        <f t="shared" ref="AO47" ca="1" si="215">LARGE(AN46:AN76,1)</f>
        <v>0</v>
      </c>
      <c r="AQ47" s="3">
        <f t="shared" ca="1" si="39"/>
        <v>0</v>
      </c>
      <c r="AT47" s="3">
        <f t="shared" ref="AT47" ca="1" si="216">SUMIFS(AT14:AT44,AQ46:AQ76,$F$28)+SUMIFS(AT14:AT44,AQ46:AQ76,$F$30)</f>
        <v>0</v>
      </c>
      <c r="AU47" s="3">
        <f t="shared" ref="AU47" ca="1" si="217">SUMIFS(AU14:AU44,AQ46:AQ76,$F$28)+SUMIFS(AU14:AU44,AQ46:AQ76,$F$30)</f>
        <v>0</v>
      </c>
      <c r="BA47" s="3">
        <f t="shared" ref="BA47" si="218">SUMIFS(BA$14:BA$44,AZ$14:AZ$44,$C$5)+SUMIFS(BA$14:BA$44,AZ$14:AZ$44,$C$6)</f>
        <v>0</v>
      </c>
      <c r="BB47" s="3">
        <f t="shared" ref="BB47" si="219">SUMIFS(BB$14:BB$44,AZ$14:AZ$44,$C$5)+SUMIFS(BB$14:BB$44,AZ$14:AZ$44,$C$6)</f>
        <v>0</v>
      </c>
      <c r="BC47" s="3">
        <f t="shared" ref="BC47" si="220">SUMIFS(BC$14:BC$44,AZ$14:AZ$44,$C$5)+SUMIFS(BC$14:BC$44,AZ$14:AZ$44,$C$6)</f>
        <v>0</v>
      </c>
      <c r="BD47" s="3">
        <f t="shared" ref="BD47" si="221">SUMIFS(BD$14:BD$44,AZ$14:AZ$44,$C$5)+SUMIFS(BD$14:BD$44,AZ$14:AZ$44,$C$6)</f>
        <v>0</v>
      </c>
      <c r="BE47" s="3">
        <f t="shared" ref="BE47" si="222">SUMIFS(BE$14:BE$44,AZ$14:AZ$44,$C$5)+SUMIFS(BE$14:BE$44,AZ$14:AZ$44,$C$6)</f>
        <v>0</v>
      </c>
      <c r="BF47" s="3">
        <f t="shared" ref="BF47" si="223">SUMIFS(BF$14:BF$44,AZ$14:AZ$44,$C$5)+SUMIFS(BF$14:BF$44,AZ$14:AZ$44,$C$6)</f>
        <v>0</v>
      </c>
      <c r="BG47" s="3">
        <f t="shared" ref="BG47" si="224">SUMIFS(BG$14:BG$44,AZ$14:AZ$44,$C$5)+SUMIFS(BG$14:BG$44,AZ$14:AZ$44,$C$6)</f>
        <v>0</v>
      </c>
      <c r="BH47" s="3">
        <f t="shared" ref="BH47" si="225">SUMIFS(BH$14:BH$44,AZ$14:AZ$44,$C$5)+SUMIFS(BH$14:BH$44,AZ$14:AZ$44,$C$6)</f>
        <v>0</v>
      </c>
      <c r="BI47" s="3">
        <f t="shared" ref="BI47" si="226">SUMIFS(BI$14:BI$44,AZ$14:AZ$44,$C$5)+SUMIFS(BI$14:BI$44,AZ$14:AZ$44,$C$6)</f>
        <v>0</v>
      </c>
      <c r="BJ47" s="3">
        <f t="shared" ref="BJ47" si="227">SUMIFS(BJ$14:BJ$44,AZ$14:AZ$44,$C$5)+SUMIFS(BJ$14:BJ$44,AZ$14:AZ$44,$C$6)</f>
        <v>0</v>
      </c>
      <c r="BL47" s="3">
        <f t="shared" ca="1" si="37"/>
        <v>0</v>
      </c>
      <c r="BM47" s="3">
        <f ca="1">IFERROR(IF(BL47=1,(IF((BS15+BT15)&gt;=1,LARGE(BM$46:BM46,1)+1,0)),0),0)</f>
        <v>0</v>
      </c>
      <c r="BN47" s="3">
        <f t="shared" ref="BN47" ca="1" si="228">LARGE(BM46:BM76,1)</f>
        <v>0</v>
      </c>
      <c r="BP47" s="3" t="str">
        <f t="shared" ca="1" si="55"/>
        <v>दाल-चावल</v>
      </c>
      <c r="BS47" s="3">
        <f t="shared" ref="BS47" ca="1" si="229">SUMIFS(BS14:BS44,BP46:BP76,$F$28)+SUMIFS(BS14:BS44,BP46:BP76,$F$30)</f>
        <v>0</v>
      </c>
      <c r="BT47" s="3">
        <f t="shared" ref="BT47" ca="1" si="230">SUMIFS(BT14:BT44,BP46:BP76,$F$28)+SUMIFS(BT14:BT44,BP46:BP76,$F$30)</f>
        <v>0</v>
      </c>
      <c r="BZ47" s="3">
        <f t="shared" ref="BZ47" si="231">SUMIFS(BZ$14:BZ$44,BY$14:BY$44,$C$5)+SUMIFS(BZ$14:BZ$44,BY$14:BY$44,$C$6)</f>
        <v>0</v>
      </c>
      <c r="CA47" s="3">
        <f t="shared" ref="CA47" si="232">SUMIFS(CA$14:CA$44,BY$14:BY$44,$C$5)+SUMIFS(CA$14:CA$44,BY$14:BY$44,$C$6)</f>
        <v>0</v>
      </c>
      <c r="CB47" s="3">
        <f t="shared" ref="CB47" si="233">SUMIFS(CB$14:CB$44,BY$14:BY$44,$C$5)+SUMIFS(CB$14:CB$44,BY$14:BY$44,$C$6)</f>
        <v>0</v>
      </c>
      <c r="CC47" s="3">
        <f t="shared" ref="CC47" si="234">SUMIFS(CC$14:CC$44,BY$14:BY$44,$C$5)+SUMIFS(CC$14:CC$44,BY$14:BY$44,$C$6)</f>
        <v>0</v>
      </c>
      <c r="CD47" s="3">
        <f t="shared" ref="CD47" si="235">SUMIFS(CD$14:CD$44,BY$14:BY$44,$C$5)+SUMIFS(CD$14:CD$44,BY$14:BY$44,$C$6)</f>
        <v>0</v>
      </c>
      <c r="CE47" s="3">
        <f t="shared" ref="CE47" si="236">SUMIFS(CE$14:CE$44,BY$14:BY$44,$C$5)+SUMIFS(CE$14:CE$44,BY$14:BY$44,$C$6)</f>
        <v>0</v>
      </c>
      <c r="CF47" s="3">
        <f t="shared" ref="CF47" si="237">SUMIFS(CF$14:CF$44,BY$14:BY$44,$C$5)+SUMIFS(CF$14:CF$44,BY$14:BY$44,$C$6)</f>
        <v>0</v>
      </c>
      <c r="CG47" s="3">
        <f t="shared" ref="CG47" si="238">SUMIFS(CG$14:CG$44,BY$14:BY$44,$C$5)+SUMIFS(CG$14:CG$44,BY$14:BY$44,$C$6)</f>
        <v>0</v>
      </c>
      <c r="CH47" s="3">
        <f t="shared" ref="CH47" si="239">SUMIFS(CH$14:CH$44,BY$14:BY$44,$C$5)+SUMIFS(CH$14:CH$44,BY$14:BY$44,$C$6)</f>
        <v>0</v>
      </c>
      <c r="CI47" s="3">
        <f t="shared" ref="CI47" si="240">SUMIFS(CI$14:CI$44,BY$14:BY$44,$C$5)+SUMIFS(CI$14:CI$44,BY$14:BY$44,$C$6)</f>
        <v>0</v>
      </c>
      <c r="CK47" s="3">
        <f t="shared" ca="1" si="37"/>
        <v>0</v>
      </c>
      <c r="CL47" s="3">
        <f ca="1">IFERROR(IF(CK47=1,(IF((CR15+CS15)&gt;=1,LARGE(CL$46:CL46,1)+1,0)),0),0)</f>
        <v>0</v>
      </c>
      <c r="CM47" s="3">
        <f t="shared" ref="CM47" ca="1" si="241">LARGE(CL46:CL76,1)</f>
        <v>0</v>
      </c>
      <c r="CO47" s="3" t="str">
        <f t="shared" ca="1" si="71"/>
        <v>दाल-रोटी</v>
      </c>
      <c r="CR47" s="3">
        <f t="shared" ref="CR47" ca="1" si="242">SUMIFS(CR14:CR44,CO46:CO76,$F$28)+SUMIFS(CR14:CR44,CO46:CO76,$F$30)</f>
        <v>0</v>
      </c>
      <c r="CS47" s="3">
        <f t="shared" ref="CS47" ca="1" si="243">SUMIFS(CS14:CS44,CO46:CO76,$F$28)+SUMIFS(CS14:CS44,CO46:CO76,$F$30)</f>
        <v>0</v>
      </c>
      <c r="CY47" s="3">
        <f t="shared" ref="CY47" si="244">SUMIFS(CY$14:CY$44,CX$14:CX$44,$C$5)+SUMIFS(CY$14:CY$44,CX$14:CX$44,$C$6)</f>
        <v>0</v>
      </c>
      <c r="CZ47" s="3">
        <f t="shared" ref="CZ47" si="245">SUMIFS(CZ$14:CZ$44,CX$14:CX$44,$C$5)+SUMIFS(CZ$14:CZ$44,CX$14:CX$44,$C$6)</f>
        <v>0</v>
      </c>
      <c r="DA47" s="3">
        <f t="shared" ref="DA47" si="246">SUMIFS(DA$14:DA$44,CX$14:CX$44,$C$5)+SUMIFS(DA$14:DA$44,CX$14:CX$44,$C$6)</f>
        <v>0</v>
      </c>
      <c r="DB47" s="3">
        <f t="shared" ref="DB47" si="247">SUMIFS(DB$14:DB$44,CX$14:CX$44,$C$5)+SUMIFS(DB$14:DB$44,CX$14:CX$44,$C$6)</f>
        <v>0</v>
      </c>
      <c r="DC47" s="3">
        <f t="shared" ref="DC47" si="248">SUMIFS(DC$14:DC$44,CX$14:CX$44,$C$5)+SUMIFS(DC$14:DC$44,CX$14:CX$44,$C$6)</f>
        <v>0</v>
      </c>
      <c r="DD47" s="3">
        <f t="shared" ref="DD47" si="249">SUMIFS(DD$14:DD$44,CX$14:CX$44,$C$5)+SUMIFS(DD$14:DD$44,CX$14:CX$44,$C$6)</f>
        <v>0</v>
      </c>
      <c r="DE47" s="3">
        <f t="shared" ref="DE47" si="250">SUMIFS(DE$14:DE$44,CX$14:CX$44,$C$5)+SUMIFS(DE$14:DE$44,CX$14:CX$44,$C$6)</f>
        <v>0</v>
      </c>
      <c r="DF47" s="3">
        <f t="shared" ref="DF47" si="251">SUMIFS(DF$14:DF$44,CX$14:CX$44,$C$5)+SUMIFS(DF$14:DF$44,CX$14:CX$44,$C$6)</f>
        <v>0</v>
      </c>
      <c r="DG47" s="3">
        <f t="shared" ref="DG47" si="252">SUMIFS(DG$14:DG$44,CX$14:CX$44,$C$5)+SUMIFS(DG$14:DG$44,CX$14:CX$44,$C$6)</f>
        <v>0</v>
      </c>
      <c r="DH47" s="3">
        <f t="shared" ref="DH47" si="253">SUMIFS(DH$14:DH$44,CX$14:CX$44,$C$5)+SUMIFS(DH$14:DH$44,CX$14:CX$44,$C$6)</f>
        <v>0</v>
      </c>
      <c r="DJ47" s="3">
        <f t="shared" ca="1" si="85"/>
        <v>1</v>
      </c>
      <c r="DK47" s="3">
        <f ca="1">IFERROR(IF(DJ47=1,(IF((DQ15+DR15)&gt;=1,LARGE(DK$46:DK46,1)+1,0)),0),0)</f>
        <v>0</v>
      </c>
      <c r="DL47" s="3">
        <f t="shared" ref="DL47" ca="1" si="254">LARGE(DK46:DK76,1)</f>
        <v>0</v>
      </c>
      <c r="DN47" s="3" t="str">
        <f t="shared" ca="1" si="87"/>
        <v>सब्जी-रोटी</v>
      </c>
      <c r="DQ47" s="3">
        <f t="shared" ref="DQ47" ca="1" si="255">SUMIFS(DQ14:DQ44,DN46:DN76,$F$28)+SUMIFS(DQ14:DQ44,DN46:DN76,$F$30)</f>
        <v>0</v>
      </c>
      <c r="DR47" s="3">
        <f t="shared" ref="DR47" ca="1" si="256">SUMIFS(DR14:DR44,DN46:DN76,$F$28)+SUMIFS(DR14:DR44,DN46:DN76,$F$30)</f>
        <v>0</v>
      </c>
      <c r="DX47" s="3">
        <f t="shared" ref="DX47" si="257">SUMIFS(DX$14:DX$44,DW$14:DW$44,$C$5)+SUMIFS(DX$14:DX$44,DW$14:DW$44,$C$6)</f>
        <v>0</v>
      </c>
      <c r="DY47" s="3">
        <f t="shared" ref="DY47" si="258">SUMIFS(DY$14:DY$44,DW$14:DW$44,$C$5)+SUMIFS(DY$14:DY$44,DW$14:DW$44,$C$6)</f>
        <v>0</v>
      </c>
      <c r="DZ47" s="3">
        <f t="shared" ref="DZ47" si="259">SUMIFS(DZ$14:DZ$44,DW$14:DW$44,$C$5)+SUMIFS(DZ$14:DZ$44,DW$14:DW$44,$C$6)</f>
        <v>0</v>
      </c>
      <c r="EA47" s="3">
        <f t="shared" ref="EA47" si="260">SUMIFS(EA$14:EA$44,DW$14:DW$44,$C$5)+SUMIFS(EA$14:EA$44,DW$14:DW$44,$C$6)</f>
        <v>0</v>
      </c>
      <c r="EB47" s="3">
        <f t="shared" ref="EB47" si="261">SUMIFS(EB$14:EB$44,DW$14:DW$44,$C$5)+SUMIFS(EB$14:EB$44,DW$14:DW$44,$C$6)</f>
        <v>0</v>
      </c>
      <c r="EC47" s="3">
        <f t="shared" ref="EC47" si="262">SUMIFS(EC$14:EC$44,DW$14:DW$44,$C$5)+SUMIFS(EC$14:EC$44,DW$14:DW$44,$C$6)</f>
        <v>0</v>
      </c>
      <c r="ED47" s="3">
        <f t="shared" ref="ED47" si="263">SUMIFS(ED$14:ED$44,DW$14:DW$44,$C$5)+SUMIFS(ED$14:ED$44,DW$14:DW$44,$C$6)</f>
        <v>0</v>
      </c>
      <c r="EE47" s="3">
        <f t="shared" ref="EE47" si="264">SUMIFS(EE$14:EE$44,DW$14:DW$44,$C$5)+SUMIFS(EE$14:EE$44,DW$14:DW$44,$C$6)</f>
        <v>0</v>
      </c>
      <c r="EF47" s="3">
        <f t="shared" ref="EF47" si="265">SUMIFS(EF$14:EF$44,DW$14:DW$44,$C$5)+SUMIFS(EF$14:EF$44,DW$14:DW$44,$C$6)</f>
        <v>0</v>
      </c>
      <c r="EG47" s="3">
        <f t="shared" ref="EG47" si="266">SUMIFS(EG$14:EG$44,DW$14:DW$44,$C$5)+SUMIFS(EG$14:EG$44,DW$14:DW$44,$C$6)</f>
        <v>0</v>
      </c>
      <c r="EI47" s="3">
        <f t="shared" ca="1" si="85"/>
        <v>0</v>
      </c>
      <c r="EJ47" s="3">
        <f ca="1">IFERROR(IF(EI47=1,(IF((EP15+EQ15)&gt;=1,LARGE(EJ$46:EJ46,1)+1,0)),0),0)</f>
        <v>0</v>
      </c>
      <c r="EK47" s="3">
        <f t="shared" ref="EK47" ca="1" si="267">LARGE(EJ46:EJ76,1)</f>
        <v>0</v>
      </c>
      <c r="EM47" s="3" t="str">
        <f t="shared" ca="1" si="103"/>
        <v>दाल-रोटी</v>
      </c>
      <c r="EP47" s="3">
        <f t="shared" ref="EP47" ca="1" si="268">SUMIFS(EP14:EP44,EM46:EM76,$F$28)+SUMIFS(EP14:EP44,EM46:EM76,$F$30)</f>
        <v>0</v>
      </c>
      <c r="EQ47" s="3">
        <f t="shared" ref="EQ47" ca="1" si="269">SUMIFS(EQ14:EQ44,EM46:EM76,$F$28)+SUMIFS(EQ14:EQ44,EM46:EM76,$F$30)</f>
        <v>0</v>
      </c>
      <c r="EW47" s="3">
        <f t="shared" ref="EW47" si="270">SUMIFS(EW$14:EW$44,EV$14:EV$44,$C$5)+SUMIFS(EW$14:EW$44,EV$14:EV$44,$C$6)</f>
        <v>0</v>
      </c>
      <c r="EX47" s="3">
        <f t="shared" ref="EX47" si="271">SUMIFS(EX$14:EX$44,EV$14:EV$44,$C$5)+SUMIFS(EX$14:EX$44,EV$14:EV$44,$C$6)</f>
        <v>0</v>
      </c>
      <c r="EY47" s="3">
        <f t="shared" ref="EY47" si="272">SUMIFS(EY$14:EY$44,EV$14:EV$44,$C$5)+SUMIFS(EY$14:EY$44,EV$14:EV$44,$C$6)</f>
        <v>0</v>
      </c>
      <c r="EZ47" s="3">
        <f t="shared" ref="EZ47" si="273">SUMIFS(EZ$14:EZ$44,EV$14:EV$44,$C$5)+SUMIFS(EZ$14:EZ$44,EV$14:EV$44,$C$6)</f>
        <v>0</v>
      </c>
      <c r="FA47" s="3">
        <f t="shared" ref="FA47" si="274">SUMIFS(FA$14:FA$44,EV$14:EV$44,$C$5)+SUMIFS(FA$14:FA$44,EV$14:EV$44,$C$6)</f>
        <v>0</v>
      </c>
      <c r="FB47" s="3">
        <f t="shared" ref="FB47" si="275">SUMIFS(FB$14:FB$44,EV$14:EV$44,$C$5)+SUMIFS(FB$14:FB$44,EV$14:EV$44,$C$6)</f>
        <v>0</v>
      </c>
      <c r="FC47" s="3">
        <f t="shared" ref="FC47" si="276">SUMIFS(FC$14:FC$44,EV$14:EV$44,$C$5)+SUMIFS(FC$14:FC$44,EV$14:EV$44,$C$6)</f>
        <v>0</v>
      </c>
      <c r="FD47" s="3">
        <f t="shared" ref="FD47" si="277">SUMIFS(FD$14:FD$44,EV$14:EV$44,$C$5)+SUMIFS(FD$14:FD$44,EV$14:EV$44,$C$6)</f>
        <v>0</v>
      </c>
      <c r="FE47" s="3">
        <f t="shared" ref="FE47" si="278">SUMIFS(FE$14:FE$44,EV$14:EV$44,$C$5)+SUMIFS(FE$14:FE$44,EV$14:EV$44,$C$6)</f>
        <v>0</v>
      </c>
      <c r="FF47" s="3">
        <f t="shared" ref="FF47" si="279">SUMIFS(FF$14:FF$44,EV$14:EV$44,$C$5)+SUMIFS(FF$14:FF$44,EV$14:EV$44,$C$6)</f>
        <v>0</v>
      </c>
      <c r="FH47" s="3">
        <f t="shared" ca="1" si="117"/>
        <v>0</v>
      </c>
      <c r="FI47" s="3">
        <f ca="1">IFERROR(IF(FH47=1,(IF((FO15+FP15)&gt;=1,LARGE(FI$46:FI46,1)+1,0)),0),0)</f>
        <v>0</v>
      </c>
      <c r="FJ47" s="3">
        <f t="shared" ref="FJ47" ca="1" si="280">LARGE(FI46:FI76,1)</f>
        <v>0</v>
      </c>
      <c r="FL47" s="3" t="str">
        <f t="shared" ca="1" si="119"/>
        <v>सब्जी-रोटी</v>
      </c>
      <c r="FO47" s="3">
        <f t="shared" ref="FO47" ca="1" si="281">SUMIFS(FO14:FO44,FL46:FL76,$F$28)+SUMIFS(FO14:FO44,FL46:FL76,$F$30)</f>
        <v>0</v>
      </c>
      <c r="FP47" s="3">
        <f t="shared" ref="FP47" ca="1" si="282">SUMIFS(FP14:FP44,FL46:FL76,$F$28)+SUMIFS(FP14:FP44,FL46:FL76,$F$30)</f>
        <v>0</v>
      </c>
      <c r="FV47" s="3">
        <f t="shared" ref="FV47" si="283">SUMIFS(FV$14:FV$44,FU$14:FU$44,$C$5)+SUMIFS(FV$14:FV$44,FU$14:FU$44,$C$6)</f>
        <v>0</v>
      </c>
      <c r="FW47" s="3">
        <f t="shared" ref="FW47" si="284">SUMIFS(FW$14:FW$44,FU$14:FU$44,$C$5)+SUMIFS(FW$14:FW$44,FU$14:FU$44,$C$6)</f>
        <v>0</v>
      </c>
      <c r="FX47" s="3">
        <f t="shared" ref="FX47" si="285">SUMIFS(FX$14:FX$44,FU$14:FU$44,$C$5)+SUMIFS(FX$14:FX$44,FU$14:FU$44,$C$6)</f>
        <v>0</v>
      </c>
      <c r="FY47" s="3">
        <f t="shared" ref="FY47" si="286">SUMIFS(FY$14:FY$44,FU$14:FU$44,$C$5)+SUMIFS(FY$14:FY$44,FU$14:FU$44,$C$6)</f>
        <v>0</v>
      </c>
      <c r="FZ47" s="3">
        <f t="shared" ref="FZ47" si="287">SUMIFS(FZ$14:FZ$44,FU$14:FU$44,$C$5)+SUMIFS(FZ$14:FZ$44,FU$14:FU$44,$C$6)</f>
        <v>0</v>
      </c>
      <c r="GA47" s="3">
        <f t="shared" ref="GA47" si="288">SUMIFS(GA$14:GA$44,FU$14:FU$44,$C$5)+SUMIFS(GA$14:GA$44,FU$14:FU$44,$C$6)</f>
        <v>0</v>
      </c>
      <c r="GB47" s="3">
        <f t="shared" ref="GB47" si="289">SUMIFS(GB$14:GB$44,FU$14:FU$44,$C$5)+SUMIFS(GB$14:GB$44,FU$14:FU$44,$C$6)</f>
        <v>0</v>
      </c>
      <c r="GC47" s="3">
        <f t="shared" ref="GC47" si="290">SUMIFS(GC$14:GC$44,FU$14:FU$44,$C$5)+SUMIFS(GC$14:GC$44,FU$14:FU$44,$C$6)</f>
        <v>0</v>
      </c>
      <c r="GD47" s="3">
        <f t="shared" ref="GD47" si="291">SUMIFS(GD$14:GD$44,FU$14:FU$44,$C$5)+SUMIFS(GD$14:GD$44,FU$14:FU$44,$C$6)</f>
        <v>0</v>
      </c>
      <c r="GE47" s="3">
        <f t="shared" ref="GE47" si="292">SUMIFS(GE$14:GE$44,FU$14:FU$44,$C$5)+SUMIFS(GE$14:GE$44,FU$14:FU$44,$C$6)</f>
        <v>0</v>
      </c>
      <c r="GG47" s="3">
        <f t="shared" ca="1" si="117"/>
        <v>1</v>
      </c>
      <c r="GH47" s="3">
        <f ca="1">IFERROR(IF(GG47=1,(IF((GN15+GO15)&gt;=1,LARGE(GH$46:GH46,1)+1,0)),0),0)</f>
        <v>0</v>
      </c>
      <c r="GI47" s="3">
        <f t="shared" ref="GI47" ca="1" si="293">LARGE(GH46:GH76,1)</f>
        <v>0</v>
      </c>
      <c r="GK47" s="3" t="str">
        <f t="shared" ca="1" si="135"/>
        <v>सब्जी-रोटी</v>
      </c>
      <c r="GN47" s="3">
        <f t="shared" ref="GN47" ca="1" si="294">SUMIFS(GN14:GN44,GK46:GK76,$F$28)+SUMIFS(GN14:GN44,GK46:GK76,$F$30)</f>
        <v>0</v>
      </c>
      <c r="GO47" s="3">
        <f t="shared" ref="GO47" ca="1" si="295">SUMIFS(GO14:GO44,GK46:GK76,$F$28)+SUMIFS(GO14:GO44,GK46:GK76,$F$30)</f>
        <v>0</v>
      </c>
      <c r="GU47" s="3">
        <f t="shared" ref="GU47" si="296">SUMIFS(GU$14:GU$44,GT$14:GT$44,$C$5)+SUMIFS(GU$14:GU$44,GT$14:GT$44,$C$6)</f>
        <v>0</v>
      </c>
      <c r="GV47" s="3">
        <f t="shared" ref="GV47" si="297">SUMIFS(GV$14:GV$44,GT$14:GT$44,$C$5)+SUMIFS(GV$14:GV$44,GT$14:GT$44,$C$6)</f>
        <v>0</v>
      </c>
      <c r="GW47" s="3">
        <f t="shared" ref="GW47" si="298">SUMIFS(GW$14:GW$44,GT$14:GT$44,$C$5)+SUMIFS(GW$14:GW$44,GT$14:GT$44,$C$6)</f>
        <v>0</v>
      </c>
      <c r="GX47" s="3">
        <f t="shared" ref="GX47" si="299">SUMIFS(GX$14:GX$44,GT$14:GT$44,$C$5)+SUMIFS(GX$14:GX$44,GT$14:GT$44,$C$6)</f>
        <v>0</v>
      </c>
      <c r="GY47" s="3">
        <f t="shared" ref="GY47" si="300">SUMIFS(GY$14:GY$44,GT$14:GT$44,$C$5)+SUMIFS(GY$14:GY$44,GT$14:GT$44,$C$6)</f>
        <v>0</v>
      </c>
      <c r="GZ47" s="3">
        <f t="shared" ref="GZ47" si="301">SUMIFS(GZ$14:GZ$44,GT$14:GT$44,$C$5)+SUMIFS(GZ$14:GZ$44,GT$14:GT$44,$C$6)</f>
        <v>0</v>
      </c>
      <c r="HA47" s="3">
        <f t="shared" ref="HA47" si="302">SUMIFS(HA$14:HA$44,GT$14:GT$44,$C$5)+SUMIFS(HA$14:HA$44,GT$14:GT$44,$C$6)</f>
        <v>0</v>
      </c>
      <c r="HB47" s="3">
        <f t="shared" ref="HB47" si="303">SUMIFS(HB$14:HB$44,GT$14:GT$44,$C$5)+SUMIFS(HB$14:HB$44,GT$14:GT$44,$C$6)</f>
        <v>0</v>
      </c>
      <c r="HC47" s="3">
        <f t="shared" ref="HC47" si="304">SUMIFS(HC$14:HC$44,GT$14:GT$44,$C$5)+SUMIFS(HC$14:HC$44,GT$14:GT$44,$C$6)</f>
        <v>0</v>
      </c>
      <c r="HD47" s="3">
        <f t="shared" ref="HD47" si="305">SUMIFS(HD$14:HD$44,GT$14:GT$44,$C$5)+SUMIFS(HD$14:HD$44,GT$14:GT$44,$C$6)</f>
        <v>0</v>
      </c>
      <c r="HF47" s="3">
        <f t="shared" ca="1" si="149"/>
        <v>0</v>
      </c>
      <c r="HG47" s="3">
        <f ca="1">IFERROR(IF(HF47=1,(IF((HM15+HN15)&gt;=1,LARGE(HG$46:HG46,1)+1,0)),0),0)</f>
        <v>0</v>
      </c>
      <c r="HH47" s="3">
        <f t="shared" ref="HH47" ca="1" si="306">LARGE(HG46:HG76,1)</f>
        <v>0</v>
      </c>
      <c r="HJ47" s="3" t="str">
        <f t="shared" ca="1" si="151"/>
        <v>खिचड़ी-सब्जी</v>
      </c>
      <c r="HM47" s="3">
        <f t="shared" ref="HM47" ca="1" si="307">SUMIFS(HM14:HM44,HJ46:HJ76,$F$28)+SUMIFS(HM14:HM44,HJ46:HJ76,$F$30)</f>
        <v>0</v>
      </c>
      <c r="HN47" s="3">
        <f t="shared" ref="HN47" ca="1" si="308">SUMIFS(HN14:HN44,HJ46:HJ76,$F$28)+SUMIFS(HN14:HN44,HJ46:HJ76,$F$30)</f>
        <v>0</v>
      </c>
      <c r="HT47" s="3">
        <f t="shared" ref="HT47" si="309">SUMIFS(HT$14:HT$44,HS$14:HS$44,$C$5)+SUMIFS(HT$14:HT$44,HS$14:HS$44,$C$6)</f>
        <v>0</v>
      </c>
      <c r="HU47" s="3">
        <f t="shared" ref="HU47" si="310">SUMIFS(HU$14:HU$44,HS$14:HS$44,$C$5)+SUMIFS(HU$14:HU$44,HS$14:HS$44,$C$6)</f>
        <v>0</v>
      </c>
      <c r="HV47" s="3">
        <f t="shared" ref="HV47" si="311">SUMIFS(HV$14:HV$44,HS$14:HS$44,$C$5)+SUMIFS(HV$14:HV$44,HS$14:HS$44,$C$6)</f>
        <v>0</v>
      </c>
      <c r="HW47" s="3">
        <f t="shared" ref="HW47" si="312">SUMIFS(HW$14:HW$44,HS$14:HS$44,$C$5)+SUMIFS(HW$14:HW$44,HS$14:HS$44,$C$6)</f>
        <v>0</v>
      </c>
      <c r="HX47" s="3">
        <f t="shared" ref="HX47" si="313">SUMIFS(HX$14:HX$44,HS$14:HS$44,$C$5)+SUMIFS(HX$14:HX$44,HS$14:HS$44,$C$6)</f>
        <v>0</v>
      </c>
      <c r="HY47" s="3">
        <f t="shared" ref="HY47" si="314">SUMIFS(HY$14:HY$44,HS$14:HS$44,$C$5)+SUMIFS(HY$14:HY$44,HS$14:HS$44,$C$6)</f>
        <v>0</v>
      </c>
      <c r="HZ47" s="3">
        <f t="shared" ref="HZ47" si="315">SUMIFS(HZ$14:HZ$44,HS$14:HS$44,$C$5)+SUMIFS(HZ$14:HZ$44,HS$14:HS$44,$C$6)</f>
        <v>0</v>
      </c>
      <c r="IA47" s="3">
        <f t="shared" ref="IA47" si="316">SUMIFS(IA$14:IA$44,HS$14:HS$44,$C$5)+SUMIFS(IA$14:IA$44,HS$14:HS$44,$C$6)</f>
        <v>0</v>
      </c>
      <c r="IB47" s="3">
        <f t="shared" ref="IB47" si="317">SUMIFS(IB$14:IB$44,HS$14:HS$44,$C$5)+SUMIFS(IB$14:IB$44,HS$14:HS$44,$C$6)</f>
        <v>0</v>
      </c>
      <c r="IC47" s="3">
        <f t="shared" ref="IC47" si="318">SUMIFS(IC$14:IC$44,HS$14:HS$44,$C$5)+SUMIFS(IC$14:IC$44,HS$14:HS$44,$C$6)</f>
        <v>0</v>
      </c>
      <c r="IE47" s="3">
        <f t="shared" ca="1" si="149"/>
        <v>0</v>
      </c>
      <c r="IF47" s="3">
        <f ca="1">IFERROR(IF(IE47=1,(IF((IL15+IM15)&gt;=1,LARGE(IF$46:IF46,1)+1,0)),0),0)</f>
        <v>0</v>
      </c>
      <c r="IG47" s="3">
        <f t="shared" ref="IG47" ca="1" si="319">LARGE(IF46:IF76,1)</f>
        <v>0</v>
      </c>
      <c r="II47" s="3" t="str">
        <f t="shared" ca="1" si="167"/>
        <v/>
      </c>
      <c r="IL47" s="3">
        <f t="shared" ref="IL47" ca="1" si="320">SUMIFS(IL14:IL44,II46:II76,$F$28)+SUMIFS(IL14:IL44,II46:II76,$F$30)</f>
        <v>0</v>
      </c>
      <c r="IM47" s="3">
        <f t="shared" ref="IM47" ca="1" si="321">SUMIFS(IM14:IM44,II46:II76,$F$28)+SUMIFS(IM14:IM44,II46:II76,$F$30)</f>
        <v>0</v>
      </c>
      <c r="IS47" s="3">
        <f t="shared" ref="IS47" si="322">SUMIFS(IS$14:IS$44,IR$14:IR$44,$C$5)+SUMIFS(IS$14:IS$44,IR$14:IR$44,$C$6)</f>
        <v>0</v>
      </c>
      <c r="IT47" s="3">
        <f t="shared" ref="IT47" si="323">SUMIFS(IT$14:IT$44,IR$14:IR$44,$C$5)+SUMIFS(IT$14:IT$44,IR$14:IR$44,$C$6)</f>
        <v>0</v>
      </c>
      <c r="IU47" s="3">
        <f t="shared" ref="IU47" si="324">SUMIFS(IU$14:IU$44,IR$14:IR$44,$C$5)+SUMIFS(IU$14:IU$44,IR$14:IR$44,$C$6)</f>
        <v>0</v>
      </c>
      <c r="IV47" s="3">
        <f t="shared" ref="IV47" si="325">SUMIFS(IV$14:IV$44,IR$14:IR$44,$C$5)+SUMIFS(IV$14:IV$44,IR$14:IR$44,$C$6)</f>
        <v>0</v>
      </c>
      <c r="IW47" s="3">
        <f t="shared" ref="IW47" si="326">SUMIFS(IW$14:IW$44,IR$14:IR$44,$C$5)+SUMIFS(IW$14:IW$44,IR$14:IR$44,$C$6)</f>
        <v>0</v>
      </c>
      <c r="IX47" s="3">
        <f t="shared" ref="IX47" si="327">SUMIFS(IX$14:IX$44,IR$14:IR$44,$C$5)+SUMIFS(IX$14:IX$44,IR$14:IR$44,$C$6)</f>
        <v>0</v>
      </c>
      <c r="IY47" s="3">
        <f t="shared" ref="IY47" si="328">SUMIFS(IY$14:IY$44,IR$14:IR$44,$C$5)+SUMIFS(IY$14:IY$44,IR$14:IR$44,$C$6)</f>
        <v>0</v>
      </c>
      <c r="IZ47" s="3">
        <f t="shared" ref="IZ47" si="329">SUMIFS(IZ$14:IZ$44,IR$14:IR$44,$C$5)+SUMIFS(IZ$14:IZ$44,IR$14:IR$44,$C$6)</f>
        <v>0</v>
      </c>
      <c r="JA47" s="3">
        <f t="shared" ref="JA47" si="330">SUMIFS(JA$14:JA$44,IR$14:IR$44,$C$5)+SUMIFS(JA$14:JA$44,IR$14:IR$44,$C$6)</f>
        <v>0</v>
      </c>
      <c r="JB47" s="3">
        <f t="shared" ref="JB47" si="331">SUMIFS(JB$14:JB$44,IR$14:IR$44,$C$5)+SUMIFS(JB$14:JB$44,IR$14:IR$44,$C$6)</f>
        <v>0</v>
      </c>
      <c r="JD47" s="3">
        <f t="shared" ca="1" si="181"/>
        <v>0</v>
      </c>
      <c r="JE47" s="3">
        <f ca="1">IFERROR(IF(JD47=1,(IF((JK15+JL15)&gt;=1,LARGE(JE$46:JE46,1)+1,0)),0),0)</f>
        <v>0</v>
      </c>
      <c r="JF47" s="3">
        <f t="shared" ref="JF47" ca="1" si="332">LARGE(JE46:JE76,1)</f>
        <v>0</v>
      </c>
      <c r="JH47" s="3" t="str">
        <f t="shared" ca="1" si="183"/>
        <v/>
      </c>
      <c r="JK47" s="3">
        <f t="shared" ref="JK47" ca="1" si="333">SUMIFS(JK14:JK44,JH46:JH76,$F$28)+SUMIFS(JK14:JK44,JH46:JH76,$F$30)</f>
        <v>0</v>
      </c>
      <c r="JL47" s="3">
        <f t="shared" ref="JL47" ca="1" si="334">SUMIFS(JL14:JL44,JH46:JH76,$F$28)+SUMIFS(JL14:JL44,JH46:JH76,$F$30)</f>
        <v>0</v>
      </c>
      <c r="JR47" s="3">
        <f t="shared" ref="JR47" si="335">SUMIFS(JR$14:JR$44,JQ$14:JQ$44,$C$5)+SUMIFS(JR$14:JR$44,JQ$14:JQ$44,$C$6)</f>
        <v>0</v>
      </c>
      <c r="JS47" s="3">
        <f t="shared" ref="JS47" si="336">SUMIFS(JS$14:JS$44,JQ$14:JQ$44,$C$5)+SUMIFS(JS$14:JS$44,JQ$14:JQ$44,$C$6)</f>
        <v>0</v>
      </c>
      <c r="JT47" s="3">
        <f t="shared" ref="JT47" si="337">SUMIFS(JT$14:JT$44,JQ$14:JQ$44,$C$5)+SUMIFS(JT$14:JT$44,JQ$14:JQ$44,$C$6)</f>
        <v>0</v>
      </c>
      <c r="JU47" s="3">
        <f t="shared" ref="JU47" si="338">SUMIFS(JU$14:JU$44,JQ$14:JQ$44,$C$5)+SUMIFS(JU$14:JU$44,JQ$14:JQ$44,$C$6)</f>
        <v>0</v>
      </c>
      <c r="JV47" s="3">
        <f t="shared" ref="JV47" si="339">SUMIFS(JV$14:JV$44,JQ$14:JQ$44,$C$5)+SUMIFS(JV$14:JV$44,JQ$14:JQ$44,$C$6)</f>
        <v>0</v>
      </c>
      <c r="JW47" s="3">
        <f t="shared" ref="JW47" si="340">SUMIFS(JW$14:JW$44,JQ$14:JQ$44,$C$5)+SUMIFS(JW$14:JW$44,JQ$14:JQ$44,$C$6)</f>
        <v>0</v>
      </c>
      <c r="JX47" s="3">
        <f t="shared" ref="JX47" si="341">SUMIFS(JX$14:JX$44,JQ$14:JQ$44,$C$5)+SUMIFS(JX$14:JX$44,JQ$14:JQ$44,$C$6)</f>
        <v>0</v>
      </c>
      <c r="JY47" s="3">
        <f t="shared" ref="JY47" si="342">SUMIFS(JY$14:JY$44,JQ$14:JQ$44,$C$5)+SUMIFS(JY$14:JY$44,JQ$14:JQ$44,$C$6)</f>
        <v>0</v>
      </c>
      <c r="JZ47" s="3">
        <f t="shared" ref="JZ47" si="343">SUMIFS(JZ$14:JZ$44,JQ$14:JQ$44,$C$5)+SUMIFS(JZ$14:JZ$44,JQ$14:JQ$44,$C$6)</f>
        <v>0</v>
      </c>
      <c r="KA47" s="3">
        <f t="shared" ref="KA47" si="344">SUMIFS(KA$14:KA$44,JQ$14:JQ$44,$C$5)+SUMIFS(KA$14:KA$44,JQ$14:JQ$44,$C$6)</f>
        <v>0</v>
      </c>
      <c r="KC47" s="3">
        <f t="shared" ca="1" si="181"/>
        <v>0</v>
      </c>
      <c r="KD47" s="3">
        <f ca="1">IFERROR(IF(KC47=1,(IF((KJ15+KK15)&gt;=1,LARGE(KD$46:KD46,1)+1,0)),0),0)</f>
        <v>0</v>
      </c>
      <c r="KE47" s="3">
        <f t="shared" ref="KE47" ca="1" si="345">LARGE(KD46:KD76,1)</f>
        <v>0</v>
      </c>
      <c r="KG47" s="3" t="str">
        <f t="shared" ca="1" si="199"/>
        <v/>
      </c>
      <c r="KJ47" s="3">
        <f t="shared" ref="KJ47" ca="1" si="346">SUMIFS(KJ14:KJ44,KG46:KG76,$F$28)+SUMIFS(KJ14:KJ44,KG46:KG76,$F$30)</f>
        <v>0</v>
      </c>
      <c r="KK47" s="3">
        <f t="shared" ref="KK47" ca="1" si="347">SUMIFS(KK14:KK44,KG46:KG76,$F$28)+SUMIFS(KK14:KK44,KG46:KG76,$F$30)</f>
        <v>0</v>
      </c>
      <c r="KQ47" s="3">
        <f t="shared" ref="KQ47" si="348">SUMIFS(KQ$14:KQ$44,KP$14:KP$44,$C$5)+SUMIFS(KQ$14:KQ$44,KP$14:KP$44,$C$6)</f>
        <v>0</v>
      </c>
      <c r="KR47" s="3">
        <f t="shared" ref="KR47" si="349">SUMIFS(KR$14:KR$44,KP$14:KP$44,$C$5)+SUMIFS(KR$14:KR$44,KP$14:KP$44,$C$6)</f>
        <v>0</v>
      </c>
      <c r="KS47" s="3">
        <f t="shared" ref="KS47" si="350">SUMIFS(KS$14:KS$44,KP$14:KP$44,$C$5)+SUMIFS(KS$14:KS$44,KP$14:KP$44,$C$6)</f>
        <v>0</v>
      </c>
      <c r="KT47" s="3">
        <f t="shared" ref="KT47" si="351">SUMIFS(KT$14:KT$44,KP$14:KP$44,$C$5)+SUMIFS(KT$14:KT$44,KP$14:KP$44,$C$6)</f>
        <v>0</v>
      </c>
      <c r="KU47" s="3">
        <f t="shared" ref="KU47" si="352">SUMIFS(KU$14:KU$44,KP$14:KP$44,$C$5)+SUMIFS(KU$14:KU$44,KP$14:KP$44,$C$6)</f>
        <v>0</v>
      </c>
      <c r="KV47" s="3">
        <f t="shared" ref="KV47" si="353">SUMIFS(KV$14:KV$44,KP$14:KP$44,$C$5)+SUMIFS(KV$14:KV$44,KP$14:KP$44,$C$6)</f>
        <v>0</v>
      </c>
      <c r="KW47" s="3">
        <f t="shared" ref="KW47" si="354">SUMIFS(KW$14:KW$44,KP$14:KP$44,$C$5)+SUMIFS(KW$14:KW$44,KP$14:KP$44,$C$6)</f>
        <v>0</v>
      </c>
      <c r="KX47" s="3">
        <f t="shared" ref="KX47" si="355">SUMIFS(KX$14:KX$44,KP$14:KP$44,$C$5)+SUMIFS(KX$14:KX$44,KP$14:KP$44,$C$6)</f>
        <v>0</v>
      </c>
      <c r="KY47" s="3">
        <f t="shared" ref="KY47" si="356">SUMIFS(KY$14:KY$44,KP$14:KP$44,$C$5)+SUMIFS(KY$14:KY$44,KP$14:KP$44,$C$6)</f>
        <v>0</v>
      </c>
      <c r="KZ47" s="3">
        <f t="shared" ref="KZ47" si="357">SUMIFS(KZ$14:KZ$44,KP$14:KP$44,$C$5)+SUMIFS(KZ$14:KZ$44,KP$14:KP$44,$C$6)</f>
        <v>0</v>
      </c>
    </row>
    <row r="48" spans="1:313" hidden="1" x14ac:dyDescent="0.25">
      <c r="N48" s="3">
        <f t="shared" ca="1" si="213"/>
        <v>0</v>
      </c>
      <c r="O48" s="3">
        <f ca="1">IFERROR(IF(N48=1,(IF((U16+V16)&gt;=1,LARGE(O$46:O47,1)+1,0)),0),0)</f>
        <v>0</v>
      </c>
      <c r="R48" s="3" t="str">
        <f t="shared" ca="1" si="214"/>
        <v>दाल-रोटी</v>
      </c>
      <c r="U48" s="3">
        <f ca="1">SUMIFS(U14:U44,R46:R76,$F$27)+SUMIFS(U14:U44,R46:R76,$F$30)</f>
        <v>0</v>
      </c>
      <c r="V48" s="3">
        <f ca="1">SUMIFS(V14:V44,R46:R76,$F$27)+SUMIFS(V14:V44,R46:R76,$F$30)</f>
        <v>0</v>
      </c>
      <c r="AM48" s="3">
        <f t="shared" ca="1" si="37"/>
        <v>1</v>
      </c>
      <c r="AN48" s="3">
        <f ca="1">IFERROR(IF(AM48=1,(IF((AT16+AU16)&gt;=1,LARGE(AN$46:AN47,1)+1,0)),0),0)</f>
        <v>0</v>
      </c>
      <c r="AQ48" s="3" t="str">
        <f t="shared" ca="1" si="39"/>
        <v>सब्जी-रोटी</v>
      </c>
      <c r="AT48" s="3">
        <f t="shared" ref="AT48" ca="1" si="358">SUMIFS(AT14:AT44,AQ46:AQ76,$F$27)+SUMIFS(AT14:AT44,AQ46:AQ76,$F$30)</f>
        <v>0</v>
      </c>
      <c r="AU48" s="3">
        <f t="shared" ref="AU48" ca="1" si="359">SUMIFS(AU14:AU44,AQ46:AQ76,$F$27)+SUMIFS(AU14:AU44,AQ46:AQ76,$F$30)</f>
        <v>0</v>
      </c>
      <c r="BL48" s="3">
        <f t="shared" ca="1" si="37"/>
        <v>0</v>
      </c>
      <c r="BM48" s="3">
        <f ca="1">IFERROR(IF(BL48=1,(IF((BS16+BT16)&gt;=1,LARGE(BM$46:BM47,1)+1,0)),0),0)</f>
        <v>0</v>
      </c>
      <c r="BP48" s="3" t="str">
        <f t="shared" ca="1" si="55"/>
        <v>दाल-रोटी</v>
      </c>
      <c r="BS48" s="3">
        <f t="shared" ref="BS48" ca="1" si="360">SUMIFS(BS14:BS44,BP46:BP76,$F$27)+SUMIFS(BS14:BS44,BP46:BP76,$F$30)</f>
        <v>0</v>
      </c>
      <c r="BT48" s="3">
        <f t="shared" ref="BT48" ca="1" si="361">SUMIFS(BT14:BT44,BP46:BP76,$F$27)+SUMIFS(BT14:BT44,BP46:BP76,$F$30)</f>
        <v>0</v>
      </c>
      <c r="CK48" s="3">
        <f t="shared" ca="1" si="37"/>
        <v>0</v>
      </c>
      <c r="CL48" s="3">
        <f ca="1">IFERROR(IF(CK48=1,(IF((CR16+CS16)&gt;=1,LARGE(CL$46:CL47,1)+1,0)),0),0)</f>
        <v>0</v>
      </c>
      <c r="CO48" s="3" t="str">
        <f t="shared" ca="1" si="71"/>
        <v>सब्जी-रोटी</v>
      </c>
      <c r="CR48" s="3">
        <f t="shared" ref="CR48" ca="1" si="362">SUMIFS(CR14:CR44,CO46:CO76,$F$27)+SUMIFS(CR14:CR44,CO46:CO76,$F$30)</f>
        <v>0</v>
      </c>
      <c r="CS48" s="3">
        <f t="shared" ref="CS48" ca="1" si="363">SUMIFS(CS14:CS44,CO46:CO76,$F$27)+SUMIFS(CS14:CS44,CO46:CO76,$F$30)</f>
        <v>0</v>
      </c>
      <c r="DJ48" s="3">
        <f t="shared" ca="1" si="85"/>
        <v>0</v>
      </c>
      <c r="DK48" s="3">
        <f ca="1">IFERROR(IF(DJ48=1,(IF((DQ16+DR16)&gt;=1,LARGE(DK$46:DK47,1)+1,0)),0),0)</f>
        <v>0</v>
      </c>
      <c r="DN48" s="3" t="str">
        <f t="shared" ca="1" si="87"/>
        <v>दाल-चावल</v>
      </c>
      <c r="DQ48" s="3">
        <f t="shared" ref="DQ48" ca="1" si="364">SUMIFS(DQ14:DQ44,DN46:DN76,$F$27)+SUMIFS(DQ14:DQ44,DN46:DN76,$F$30)</f>
        <v>0</v>
      </c>
      <c r="DR48" s="3">
        <f t="shared" ref="DR48" ca="1" si="365">SUMIFS(DR14:DR44,DN46:DN76,$F$27)+SUMIFS(DR14:DR44,DN46:DN76,$F$30)</f>
        <v>0</v>
      </c>
      <c r="EI48" s="3">
        <f t="shared" ca="1" si="85"/>
        <v>0</v>
      </c>
      <c r="EJ48" s="3">
        <f ca="1">IFERROR(IF(EI48=1,(IF((EP16+EQ16)&gt;=1,LARGE(EJ$46:EJ47,1)+1,0)),0),0)</f>
        <v>0</v>
      </c>
      <c r="EM48" s="3" t="str">
        <f t="shared" ca="1" si="103"/>
        <v>खिचड़ी-सब्जी</v>
      </c>
      <c r="EP48" s="3">
        <f t="shared" ref="EP48" ca="1" si="366">SUMIFS(EP14:EP44,EM46:EM76,$F$27)+SUMIFS(EP14:EP44,EM46:EM76,$F$30)</f>
        <v>0</v>
      </c>
      <c r="EQ48" s="3">
        <f t="shared" ref="EQ48" ca="1" si="367">SUMIFS(EQ14:EQ44,EM46:EM76,$F$27)+SUMIFS(EQ14:EQ44,EM46:EM76,$F$30)</f>
        <v>0</v>
      </c>
      <c r="FH48" s="3">
        <f t="shared" ca="1" si="117"/>
        <v>0</v>
      </c>
      <c r="FI48" s="3">
        <f ca="1">IFERROR(IF(FH48=1,(IF((FO16+FP16)&gt;=1,LARGE(FI$46:FI47,1)+1,0)),0),0)</f>
        <v>0</v>
      </c>
      <c r="FL48" s="3">
        <f t="shared" ca="1" si="119"/>
        <v>0</v>
      </c>
      <c r="FO48" s="3">
        <f t="shared" ref="FO48" ca="1" si="368">SUMIFS(FO14:FO44,FL46:FL76,$F$27)+SUMIFS(FO14:FO44,FL46:FL76,$F$30)</f>
        <v>0</v>
      </c>
      <c r="FP48" s="3">
        <f t="shared" ref="FP48" ca="1" si="369">SUMIFS(FP14:FP44,FL46:FL76,$F$27)+SUMIFS(FP14:FP44,FL46:FL76,$F$30)</f>
        <v>0</v>
      </c>
      <c r="GG48" s="3">
        <f t="shared" ca="1" si="117"/>
        <v>0</v>
      </c>
      <c r="GH48" s="3">
        <f ca="1">IFERROR(IF(GG48=1,(IF((GN16+GO16)&gt;=1,LARGE(GH$46:GH47,1)+1,0)),0),0)</f>
        <v>0</v>
      </c>
      <c r="GK48" s="3" t="str">
        <f t="shared" ca="1" si="135"/>
        <v>दाल-चावल</v>
      </c>
      <c r="GN48" s="3">
        <f t="shared" ref="GN48" ca="1" si="370">SUMIFS(GN14:GN44,GK46:GK76,$F$27)+SUMIFS(GN14:GN44,GK46:GK76,$F$30)</f>
        <v>0</v>
      </c>
      <c r="GO48" s="3">
        <f t="shared" ref="GO48" ca="1" si="371">SUMIFS(GO14:GO44,GK46:GK76,$F$27)+SUMIFS(GO14:GO44,GK46:GK76,$F$30)</f>
        <v>0</v>
      </c>
      <c r="HF48" s="3">
        <f t="shared" ca="1" si="149"/>
        <v>0</v>
      </c>
      <c r="HG48" s="3">
        <f ca="1">IFERROR(IF(HF48=1,(IF((HM16+HN16)&gt;=1,LARGE(HG$46:HG47,1)+1,0)),0),0)</f>
        <v>0</v>
      </c>
      <c r="HJ48" s="3" t="str">
        <f t="shared" ca="1" si="151"/>
        <v>दाल-रोटी</v>
      </c>
      <c r="HM48" s="3">
        <f t="shared" ref="HM48" ca="1" si="372">SUMIFS(HM14:HM44,HJ46:HJ76,$F$27)+SUMIFS(HM14:HM44,HJ46:HJ76,$F$30)</f>
        <v>0</v>
      </c>
      <c r="HN48" s="3">
        <f t="shared" ref="HN48" ca="1" si="373">SUMIFS(HN14:HN44,HJ46:HJ76,$F$27)+SUMIFS(HN14:HN44,HJ46:HJ76,$F$30)</f>
        <v>0</v>
      </c>
      <c r="IE48" s="3">
        <f t="shared" ca="1" si="149"/>
        <v>0</v>
      </c>
      <c r="IF48" s="3">
        <f ca="1">IFERROR(IF(IE48=1,(IF((IL16+IM16)&gt;=1,LARGE(IF$46:IF47,1)+1,0)),0),0)</f>
        <v>0</v>
      </c>
      <c r="II48" s="3" t="str">
        <f t="shared" ca="1" si="167"/>
        <v/>
      </c>
      <c r="IL48" s="3">
        <f t="shared" ref="IL48" ca="1" si="374">SUMIFS(IL14:IL44,II46:II76,$F$27)+SUMIFS(IL14:IL44,II46:II76,$F$30)</f>
        <v>0</v>
      </c>
      <c r="IM48" s="3">
        <f t="shared" ref="IM48" ca="1" si="375">SUMIFS(IM14:IM44,II46:II76,$F$27)+SUMIFS(IM14:IM44,II46:II76,$F$30)</f>
        <v>0</v>
      </c>
      <c r="JD48" s="3">
        <f t="shared" ca="1" si="181"/>
        <v>0</v>
      </c>
      <c r="JE48" s="3">
        <f ca="1">IFERROR(IF(JD48=1,(IF((JK16+JL16)&gt;=1,LARGE(JE$46:JE47,1)+1,0)),0),0)</f>
        <v>0</v>
      </c>
      <c r="JH48" s="3" t="str">
        <f t="shared" ca="1" si="183"/>
        <v/>
      </c>
      <c r="JK48" s="3">
        <f t="shared" ref="JK48" ca="1" si="376">SUMIFS(JK14:JK44,JH46:JH76,$F$27)+SUMIFS(JK14:JK44,JH46:JH76,$F$30)</f>
        <v>0</v>
      </c>
      <c r="JL48" s="3">
        <f t="shared" ref="JL48" ca="1" si="377">SUMIFS(JL14:JL44,JH46:JH76,$F$27)+SUMIFS(JL14:JL44,JH46:JH76,$F$30)</f>
        <v>0</v>
      </c>
      <c r="KC48" s="3">
        <f t="shared" ca="1" si="181"/>
        <v>0</v>
      </c>
      <c r="KD48" s="3">
        <f ca="1">IFERROR(IF(KC48=1,(IF((KJ16+KK16)&gt;=1,LARGE(KD$46:KD47,1)+1,0)),0),0)</f>
        <v>0</v>
      </c>
      <c r="KG48" s="3" t="str">
        <f t="shared" ca="1" si="199"/>
        <v/>
      </c>
      <c r="KJ48" s="3">
        <f t="shared" ref="KJ48" ca="1" si="378">SUMIFS(KJ14:KJ44,KG46:KG76,$F$27)+SUMIFS(KJ14:KJ44,KG46:KG76,$F$30)</f>
        <v>0</v>
      </c>
      <c r="KK48" s="3">
        <f t="shared" ref="KK48" ca="1" si="379">SUMIFS(KK14:KK44,KG46:KG76,$F$27)+SUMIFS(KK14:KK44,KG46:KG76,$F$30)</f>
        <v>0</v>
      </c>
    </row>
    <row r="49" spans="14:298" hidden="1" x14ac:dyDescent="0.25">
      <c r="N49" s="3">
        <f t="shared" ca="1" si="213"/>
        <v>0</v>
      </c>
      <c r="O49" s="3">
        <f ca="1">IFERROR(IF(N49=1,(IF((U17+V17)&gt;=1,LARGE(O$46:O48,1)+1,0)),0),0)</f>
        <v>0</v>
      </c>
      <c r="R49" s="3" t="str">
        <f ca="1">IFERROR(IF(LEN(R17)&gt;=7,R17,IF(LEN(R17)&gt;=0,P17,"")),"")</f>
        <v>सब्जी-रोटी</v>
      </c>
      <c r="U49" s="3">
        <f ca="1">SUMIFS(U14:U44,R46:R76,$F$28)+SUMIFS(U14:U44,R46:R76,$F$31)</f>
        <v>0</v>
      </c>
      <c r="V49" s="3">
        <f ca="1">SUMIFS(V14:V44,R46:R76,$F$28)+SUMIFS(V14:V44,R46:R76,$F$31)</f>
        <v>0</v>
      </c>
      <c r="AM49" s="3">
        <f t="shared" ca="1" si="37"/>
        <v>0</v>
      </c>
      <c r="AN49" s="3">
        <f ca="1">IFERROR(IF(AM49=1,(IF((AT17+AU17)&gt;=1,LARGE(AN$46:AN48,1)+1,0)),0),0)</f>
        <v>0</v>
      </c>
      <c r="AQ49" s="3" t="str">
        <f t="shared" ca="1" si="39"/>
        <v>दाल-चावल</v>
      </c>
      <c r="AT49" s="3">
        <f t="shared" ref="AT49" ca="1" si="380">SUMIFS(AT14:AT44,AQ46:AQ76,$F$28)+SUMIFS(AT14:AT44,AQ46:AQ76,$F$31)</f>
        <v>0</v>
      </c>
      <c r="AU49" s="3">
        <f t="shared" ref="AU49" ca="1" si="381">SUMIFS(AU14:AU44,AQ46:AQ76,$F$28)+SUMIFS(AU14:AU44,AQ46:AQ76,$F$31)</f>
        <v>0</v>
      </c>
      <c r="BL49" s="3">
        <f t="shared" ca="1" si="37"/>
        <v>0</v>
      </c>
      <c r="BM49" s="3">
        <f ca="1">IFERROR(IF(BL49=1,(IF((BS17+BT17)&gt;=1,LARGE(BM$46:BM48,1)+1,0)),0),0)</f>
        <v>0</v>
      </c>
      <c r="BP49" s="3" t="str">
        <f t="shared" ca="1" si="55"/>
        <v>खिचड़ी-सब्जी</v>
      </c>
      <c r="BS49" s="3">
        <f t="shared" ref="BS49" ca="1" si="382">SUMIFS(BS14:BS44,BP46:BP76,$F$28)+SUMIFS(BS14:BS44,BP46:BP76,$F$31)</f>
        <v>0</v>
      </c>
      <c r="BT49" s="3">
        <f t="shared" ref="BT49" ca="1" si="383">SUMIFS(BT14:BT44,BP46:BP76,$F$28)+SUMIFS(BT14:BT44,BP46:BP76,$F$31)</f>
        <v>0</v>
      </c>
      <c r="CK49" s="3">
        <f t="shared" ca="1" si="37"/>
        <v>0</v>
      </c>
      <c r="CL49" s="3">
        <f ca="1">IFERROR(IF(CK49=1,(IF((CR17+CS17)&gt;=1,LARGE(CL$46:CL48,1)+1,0)),0),0)</f>
        <v>0</v>
      </c>
      <c r="CO49" s="3">
        <f t="shared" ca="1" si="71"/>
        <v>0</v>
      </c>
      <c r="CR49" s="3">
        <f t="shared" ref="CR49" ca="1" si="384">SUMIFS(CR14:CR44,CO46:CO76,$F$28)+SUMIFS(CR14:CR44,CO46:CO76,$F$31)</f>
        <v>0</v>
      </c>
      <c r="CS49" s="3">
        <f t="shared" ref="CS49" ca="1" si="385">SUMIFS(CS14:CS44,CO46:CO76,$F$28)+SUMIFS(CS14:CS44,CO46:CO76,$F$31)</f>
        <v>0</v>
      </c>
      <c r="DJ49" s="3">
        <f t="shared" ca="1" si="85"/>
        <v>0</v>
      </c>
      <c r="DK49" s="3">
        <f ca="1">IFERROR(IF(DJ49=1,(IF((DQ17+DR17)&gt;=1,LARGE(DK$46:DK48,1)+1,0)),0),0)</f>
        <v>0</v>
      </c>
      <c r="DN49" s="3" t="str">
        <f t="shared" ca="1" si="87"/>
        <v>दाल-रोटी</v>
      </c>
      <c r="DQ49" s="3">
        <f t="shared" ref="DQ49" ca="1" si="386">SUMIFS(DQ14:DQ44,DN46:DN76,$F$28)+SUMIFS(DQ14:DQ44,DN46:DN76,$F$31)</f>
        <v>0</v>
      </c>
      <c r="DR49" s="3">
        <f t="shared" ref="DR49" ca="1" si="387">SUMIFS(DR14:DR44,DN46:DN76,$F$28)+SUMIFS(DR14:DR44,DN46:DN76,$F$31)</f>
        <v>0</v>
      </c>
      <c r="EI49" s="3">
        <f t="shared" ca="1" si="85"/>
        <v>0</v>
      </c>
      <c r="EJ49" s="3">
        <f ca="1">IFERROR(IF(EI49=1,(IF((EP17+EQ17)&gt;=1,LARGE(EJ$46:EJ48,1)+1,0)),0),0)</f>
        <v>0</v>
      </c>
      <c r="EM49" s="3" t="str">
        <f t="shared" ca="1" si="103"/>
        <v>दाल-रोटी</v>
      </c>
      <c r="EP49" s="3">
        <f t="shared" ref="EP49" ca="1" si="388">SUMIFS(EP14:EP44,EM46:EM76,$F$28)+SUMIFS(EP14:EP44,EM46:EM76,$F$31)</f>
        <v>0</v>
      </c>
      <c r="EQ49" s="3">
        <f t="shared" ref="EQ49" ca="1" si="389">SUMIFS(EQ14:EQ44,EM46:EM76,$F$28)+SUMIFS(EQ14:EQ44,EM46:EM76,$F$31)</f>
        <v>0</v>
      </c>
      <c r="FH49" s="3">
        <f t="shared" ca="1" si="117"/>
        <v>1</v>
      </c>
      <c r="FI49" s="3">
        <f ca="1">IFERROR(IF(FH49=1,(IF((FO17+FP17)&gt;=1,LARGE(FI$46:FI48,1)+1,0)),0),0)</f>
        <v>0</v>
      </c>
      <c r="FL49" s="3" t="str">
        <f t="shared" ca="1" si="119"/>
        <v>सब्जी-रोटी</v>
      </c>
      <c r="FO49" s="3">
        <f t="shared" ref="FO49" ca="1" si="390">SUMIFS(FO14:FO44,FL46:FL76,$F$28)+SUMIFS(FO14:FO44,FL46:FL76,$F$31)</f>
        <v>0</v>
      </c>
      <c r="FP49" s="3">
        <f t="shared" ref="FP49" ca="1" si="391">SUMIFS(FP14:FP44,FL46:FL76,$F$28)+SUMIFS(FP14:FP44,FL46:FL76,$F$31)</f>
        <v>0</v>
      </c>
      <c r="GG49" s="3">
        <f t="shared" ca="1" si="117"/>
        <v>0</v>
      </c>
      <c r="GH49" s="3">
        <f ca="1">IFERROR(IF(GG49=1,(IF((GN17+GO17)&gt;=1,LARGE(GH$46:GH48,1)+1,0)),0),0)</f>
        <v>0</v>
      </c>
      <c r="GK49" s="3" t="str">
        <f t="shared" ca="1" si="135"/>
        <v>दाल-रोटी</v>
      </c>
      <c r="GN49" s="3">
        <f t="shared" ref="GN49" ca="1" si="392">SUMIFS(GN14:GN44,GK46:GK76,$F$28)+SUMIFS(GN14:GN44,GK46:GK76,$F$31)</f>
        <v>0</v>
      </c>
      <c r="GO49" s="3">
        <f t="shared" ref="GO49" ca="1" si="393">SUMIFS(GO14:GO44,GK46:GK76,$F$28)+SUMIFS(GO14:GO44,GK46:GK76,$F$31)</f>
        <v>0</v>
      </c>
      <c r="HF49" s="3">
        <f t="shared" ca="1" si="149"/>
        <v>0</v>
      </c>
      <c r="HG49" s="3">
        <f ca="1">IFERROR(IF(HF49=1,(IF((HM17+HN17)&gt;=1,LARGE(HG$46:HG48,1)+1,0)),0),0)</f>
        <v>0</v>
      </c>
      <c r="HJ49" s="3" t="str">
        <f t="shared" ca="1" si="151"/>
        <v>सब्जी-रोटी</v>
      </c>
      <c r="HM49" s="3">
        <f t="shared" ref="HM49" ca="1" si="394">SUMIFS(HM14:HM44,HJ46:HJ76,$F$28)+SUMIFS(HM14:HM44,HJ46:HJ76,$F$31)</f>
        <v>0</v>
      </c>
      <c r="HN49" s="3">
        <f t="shared" ref="HN49" ca="1" si="395">SUMIFS(HN14:HN44,HJ46:HJ76,$F$28)+SUMIFS(HN14:HN44,HJ46:HJ76,$F$31)</f>
        <v>0</v>
      </c>
      <c r="IE49" s="3">
        <f t="shared" ca="1" si="149"/>
        <v>0</v>
      </c>
      <c r="IF49" s="3">
        <f ca="1">IFERROR(IF(IE49=1,(IF((IL17+IM17)&gt;=1,LARGE(IF$46:IF48,1)+1,0)),0),0)</f>
        <v>0</v>
      </c>
      <c r="II49" s="3" t="str">
        <f t="shared" ca="1" si="167"/>
        <v/>
      </c>
      <c r="IL49" s="3">
        <f t="shared" ref="IL49" ca="1" si="396">SUMIFS(IL14:IL44,II46:II76,$F$28)+SUMIFS(IL14:IL44,II46:II76,$F$31)</f>
        <v>0</v>
      </c>
      <c r="IM49" s="3">
        <f t="shared" ref="IM49" ca="1" si="397">SUMIFS(IM14:IM44,II46:II76,$F$28)+SUMIFS(IM14:IM44,II46:II76,$F$31)</f>
        <v>0</v>
      </c>
      <c r="JD49" s="3">
        <f t="shared" ca="1" si="181"/>
        <v>0</v>
      </c>
      <c r="JE49" s="3">
        <f ca="1">IFERROR(IF(JD49=1,(IF((JK17+JL17)&gt;=1,LARGE(JE$46:JE48,1)+1,0)),0),0)</f>
        <v>0</v>
      </c>
      <c r="JH49" s="3" t="str">
        <f t="shared" ca="1" si="183"/>
        <v/>
      </c>
      <c r="JK49" s="3">
        <f t="shared" ref="JK49" ca="1" si="398">SUMIFS(JK14:JK44,JH46:JH76,$F$28)+SUMIFS(JK14:JK44,JH46:JH76,$F$31)</f>
        <v>0</v>
      </c>
      <c r="JL49" s="3">
        <f t="shared" ref="JL49" ca="1" si="399">SUMIFS(JL14:JL44,JH46:JH76,$F$28)+SUMIFS(JL14:JL44,JH46:JH76,$F$31)</f>
        <v>0</v>
      </c>
      <c r="KC49" s="3">
        <f t="shared" ca="1" si="181"/>
        <v>0</v>
      </c>
      <c r="KD49" s="3">
        <f ca="1">IFERROR(IF(KC49=1,(IF((KJ17+KK17)&gt;=1,LARGE(KD$46:KD48,1)+1,0)),0),0)</f>
        <v>0</v>
      </c>
      <c r="KG49" s="3" t="str">
        <f t="shared" ca="1" si="199"/>
        <v/>
      </c>
      <c r="KJ49" s="3">
        <f t="shared" ref="KJ49" ca="1" si="400">SUMIFS(KJ14:KJ44,KG46:KG76,$F$28)+SUMIFS(KJ14:KJ44,KG46:KG76,$F$31)</f>
        <v>0</v>
      </c>
      <c r="KK49" s="3">
        <f t="shared" ref="KK49" ca="1" si="401">SUMIFS(KK14:KK44,KG46:KG76,$F$28)+SUMIFS(KK14:KK44,KG46:KG76,$F$31)</f>
        <v>0</v>
      </c>
    </row>
    <row r="50" spans="14:298" hidden="1" x14ac:dyDescent="0.25">
      <c r="N50" s="3">
        <f t="shared" ca="1" si="213"/>
        <v>0</v>
      </c>
      <c r="O50" s="3">
        <f ca="1">IFERROR(IF(N50=1,(IF((U18+V18)&gt;=1,LARGE(O$46:O49,1)+1,0)),0),0)</f>
        <v>0</v>
      </c>
      <c r="R50" s="3">
        <f t="shared" ref="R50:R76" ca="1" si="402">IFERROR(IF(LEN(R18)&gt;=7,R18,IF(LEN(R18)&gt;=0,P18,"")),"")</f>
        <v>0</v>
      </c>
      <c r="U50" s="3">
        <v>1</v>
      </c>
      <c r="V50" s="3">
        <f ca="1">IF(P47&gt;=U50,SUMIFS(U14:U44,O46:O76,U50),0)</f>
        <v>0</v>
      </c>
      <c r="W50" s="3">
        <f ca="1">IF(P47&gt;=U50,SUMIFS(V14:V44,O46:O76,U50),0)</f>
        <v>0</v>
      </c>
      <c r="AM50" s="3">
        <f t="shared" ca="1" si="37"/>
        <v>0</v>
      </c>
      <c r="AN50" s="3">
        <f ca="1">IFERROR(IF(AM50=1,(IF((AT18+AU18)&gt;=1,LARGE(AN$46:AN49,1)+1,0)),0),0)</f>
        <v>0</v>
      </c>
      <c r="AQ50" s="3" t="str">
        <f t="shared" ca="1" si="39"/>
        <v>दाल-रोटी</v>
      </c>
      <c r="AT50" s="3">
        <v>1</v>
      </c>
      <c r="AU50" s="3">
        <f t="shared" ref="AU50" ca="1" si="403">IF(AO47&gt;=AT50,SUMIFS(AT14:AT44,AN46:AN76,AT50),0)</f>
        <v>0</v>
      </c>
      <c r="AV50" s="3">
        <f t="shared" ref="AV50" ca="1" si="404">IF(AO47&gt;=AT50,SUMIFS(AU14:AU44,AN46:AN76,AT50),0)</f>
        <v>0</v>
      </c>
      <c r="BL50" s="3">
        <f t="shared" ca="1" si="37"/>
        <v>0</v>
      </c>
      <c r="BM50" s="3">
        <f ca="1">IFERROR(IF(BL50=1,(IF((BS18+BT18)&gt;=1,LARGE(BM$46:BM49,1)+1,0)),0),0)</f>
        <v>0</v>
      </c>
      <c r="BP50" s="3" t="str">
        <f t="shared" ca="1" si="55"/>
        <v>दाल-रोटी</v>
      </c>
      <c r="BS50" s="3">
        <v>1</v>
      </c>
      <c r="BT50" s="3">
        <f t="shared" ref="BT50" ca="1" si="405">IF(BN47&gt;=BS50,SUMIFS(BS14:BS44,BM46:BM76,BS50),0)</f>
        <v>0</v>
      </c>
      <c r="BU50" s="3">
        <f t="shared" ref="BU50" ca="1" si="406">IF(BN47&gt;=BS50,SUMIFS(BT14:BT44,BM46:BM76,BS50),0)</f>
        <v>0</v>
      </c>
      <c r="CK50" s="3">
        <f t="shared" ca="1" si="37"/>
        <v>1</v>
      </c>
      <c r="CL50" s="3">
        <f ca="1">IFERROR(IF(CK50=1,(IF((CR18+CS18)&gt;=1,LARGE(CL$46:CL49,1)+1,0)),0),0)</f>
        <v>0</v>
      </c>
      <c r="CO50" s="3" t="str">
        <f t="shared" ca="1" si="71"/>
        <v>सब्जी-रोटी</v>
      </c>
      <c r="CR50" s="3">
        <v>1</v>
      </c>
      <c r="CS50" s="3">
        <f t="shared" ref="CS50" ca="1" si="407">IF(CM47&gt;=CR50,SUMIFS(CR14:CR44,CL46:CL76,CR50),0)</f>
        <v>0</v>
      </c>
      <c r="CT50" s="3">
        <f t="shared" ref="CT50" ca="1" si="408">IF(CM47&gt;=CR50,SUMIFS(CS14:CS44,CL46:CL76,CR50),0)</f>
        <v>0</v>
      </c>
      <c r="DJ50" s="3">
        <f t="shared" ca="1" si="85"/>
        <v>0</v>
      </c>
      <c r="DK50" s="3">
        <f ca="1">IFERROR(IF(DJ50=1,(IF((DQ18+DR18)&gt;=1,LARGE(DK$46:DK49,1)+1,0)),0),0)</f>
        <v>0</v>
      </c>
      <c r="DN50" s="3" t="str">
        <f t="shared" ca="1" si="87"/>
        <v>खिचड़ी-सब्जी</v>
      </c>
      <c r="DQ50" s="3">
        <v>1</v>
      </c>
      <c r="DR50" s="3">
        <f t="shared" ref="DR50" ca="1" si="409">IF(DL47&gt;=DQ50,SUMIFS(DQ14:DQ44,DK46:DK76,DQ50),0)</f>
        <v>0</v>
      </c>
      <c r="DS50" s="3">
        <f t="shared" ref="DS50" ca="1" si="410">IF(DL47&gt;=DQ50,SUMIFS(DR14:DR44,DK46:DK76,DQ50),0)</f>
        <v>0</v>
      </c>
      <c r="EI50" s="3">
        <f t="shared" ca="1" si="85"/>
        <v>0</v>
      </c>
      <c r="EJ50" s="3">
        <f ca="1">IFERROR(IF(EI50=1,(IF((EP18+EQ18)&gt;=1,LARGE(EJ$46:EJ49,1)+1,0)),0),0)</f>
        <v>0</v>
      </c>
      <c r="EM50" s="3" t="str">
        <f t="shared" ca="1" si="103"/>
        <v>सब्जी-रोटी</v>
      </c>
      <c r="EP50" s="3">
        <v>1</v>
      </c>
      <c r="EQ50" s="3">
        <f t="shared" ref="EQ50" ca="1" si="411">IF(EK47&gt;=EP50,SUMIFS(EP14:EP44,EJ46:EJ76,EP50),0)</f>
        <v>0</v>
      </c>
      <c r="ER50" s="3">
        <f t="shared" ref="ER50" ca="1" si="412">IF(EK47&gt;=EP50,SUMIFS(EQ14:EQ44,EJ46:EJ76,EP50),0)</f>
        <v>0</v>
      </c>
      <c r="FH50" s="3">
        <f t="shared" ca="1" si="117"/>
        <v>0</v>
      </c>
      <c r="FI50" s="3">
        <f ca="1">IFERROR(IF(FH50=1,(IF((FO18+FP18)&gt;=1,LARGE(FI$46:FI49,1)+1,0)),0),0)</f>
        <v>0</v>
      </c>
      <c r="FL50" s="3" t="str">
        <f t="shared" ca="1" si="119"/>
        <v>दाल-चावल</v>
      </c>
      <c r="FO50" s="3">
        <v>1</v>
      </c>
      <c r="FP50" s="3">
        <f t="shared" ref="FP50" ca="1" si="413">IF(FJ47&gt;=FO50,SUMIFS(FO14:FO44,FI46:FI76,FO50),0)</f>
        <v>0</v>
      </c>
      <c r="FQ50" s="3">
        <f t="shared" ref="FQ50" ca="1" si="414">IF(FJ47&gt;=FO50,SUMIFS(FP14:FP44,FI46:FI76,FO50),0)</f>
        <v>0</v>
      </c>
      <c r="GG50" s="3">
        <f t="shared" ca="1" si="117"/>
        <v>0</v>
      </c>
      <c r="GH50" s="3">
        <f ca="1">IFERROR(IF(GG50=1,(IF((GN18+GO18)&gt;=1,LARGE(GH$46:GH49,1)+1,0)),0),0)</f>
        <v>0</v>
      </c>
      <c r="GK50" s="3" t="str">
        <f t="shared" ca="1" si="135"/>
        <v>खिचड़ी-सब्जी</v>
      </c>
      <c r="GN50" s="3">
        <v>1</v>
      </c>
      <c r="GO50" s="3">
        <f t="shared" ref="GO50" ca="1" si="415">IF(GI47&gt;=GN50,SUMIFS(GN14:GN44,GH46:GH76,GN50),0)</f>
        <v>0</v>
      </c>
      <c r="GP50" s="3">
        <f t="shared" ref="GP50" ca="1" si="416">IF(GI47&gt;=GN50,SUMIFS(GO14:GO44,GH46:GH76,GN50),0)</f>
        <v>0</v>
      </c>
      <c r="HF50" s="3">
        <f t="shared" ca="1" si="149"/>
        <v>0</v>
      </c>
      <c r="HG50" s="3">
        <f ca="1">IFERROR(IF(HF50=1,(IF((HM18+HN18)&gt;=1,LARGE(HG$46:HG49,1)+1,0)),0),0)</f>
        <v>0</v>
      </c>
      <c r="HJ50" s="3">
        <f t="shared" ca="1" si="151"/>
        <v>0</v>
      </c>
      <c r="HM50" s="3">
        <v>1</v>
      </c>
      <c r="HN50" s="3">
        <f t="shared" ref="HN50" ca="1" si="417">IF(HH47&gt;=HM50,SUMIFS(HM14:HM44,HG46:HG76,HM50),0)</f>
        <v>0</v>
      </c>
      <c r="HO50" s="3">
        <f t="shared" ref="HO50" ca="1" si="418">IF(HH47&gt;=HM50,SUMIFS(HN14:HN44,HG46:HG76,HM50),0)</f>
        <v>0</v>
      </c>
      <c r="IE50" s="3">
        <f t="shared" ca="1" si="149"/>
        <v>0</v>
      </c>
      <c r="IF50" s="3">
        <f ca="1">IFERROR(IF(IE50=1,(IF((IL18+IM18)&gt;=1,LARGE(IF$46:IF49,1)+1,0)),0),0)</f>
        <v>0</v>
      </c>
      <c r="II50" s="3" t="str">
        <f t="shared" ca="1" si="167"/>
        <v/>
      </c>
      <c r="IL50" s="3">
        <v>1</v>
      </c>
      <c r="IM50" s="3">
        <f t="shared" ref="IM50" ca="1" si="419">IF(IG47&gt;=IL50,SUMIFS(IL14:IL44,IF46:IF76,IL50),0)</f>
        <v>0</v>
      </c>
      <c r="IN50" s="3">
        <f t="shared" ref="IN50" ca="1" si="420">IF(IG47&gt;=IL50,SUMIFS(IM14:IM44,IF46:IF76,IL50),0)</f>
        <v>0</v>
      </c>
      <c r="JD50" s="3">
        <f t="shared" ca="1" si="181"/>
        <v>0</v>
      </c>
      <c r="JE50" s="3">
        <f ca="1">IFERROR(IF(JD50=1,(IF((JK18+JL18)&gt;=1,LARGE(JE$46:JE49,1)+1,0)),0),0)</f>
        <v>0</v>
      </c>
      <c r="JH50" s="3" t="str">
        <f t="shared" ca="1" si="183"/>
        <v/>
      </c>
      <c r="JK50" s="3">
        <v>1</v>
      </c>
      <c r="JL50" s="3">
        <f t="shared" ref="JL50" ca="1" si="421">IF(JF47&gt;=JK50,SUMIFS(JK14:JK44,JE46:JE76,JK50),0)</f>
        <v>0</v>
      </c>
      <c r="JM50" s="3">
        <f t="shared" ref="JM50" ca="1" si="422">IF(JF47&gt;=JK50,SUMIFS(JL14:JL44,JE46:JE76,JK50),0)</f>
        <v>0</v>
      </c>
      <c r="KC50" s="3">
        <f t="shared" ca="1" si="181"/>
        <v>0</v>
      </c>
      <c r="KD50" s="3">
        <f ca="1">IFERROR(IF(KC50=1,(IF((KJ18+KK18)&gt;=1,LARGE(KD$46:KD49,1)+1,0)),0),0)</f>
        <v>0</v>
      </c>
      <c r="KG50" s="3" t="str">
        <f t="shared" ca="1" si="199"/>
        <v/>
      </c>
      <c r="KJ50" s="3">
        <v>1</v>
      </c>
      <c r="KK50" s="3">
        <f t="shared" ref="KK50" ca="1" si="423">IF(KE47&gt;=KJ50,SUMIFS(KJ14:KJ44,KD46:KD76,KJ50),0)</f>
        <v>0</v>
      </c>
      <c r="KL50" s="3">
        <f t="shared" ref="KL50" ca="1" si="424">IF(KE47&gt;=KJ50,SUMIFS(KK14:KK44,KD46:KD76,KJ50),0)</f>
        <v>0</v>
      </c>
    </row>
    <row r="51" spans="14:298" hidden="1" x14ac:dyDescent="0.25">
      <c r="N51" s="3">
        <f t="shared" ca="1" si="213"/>
        <v>1</v>
      </c>
      <c r="O51" s="3">
        <f ca="1">IFERROR(IF(N51=1,(IF((U19+V19)&gt;=1,LARGE(O$46:O50,1)+1,0)),0),0)</f>
        <v>0</v>
      </c>
      <c r="R51" s="3" t="str">
        <f t="shared" ca="1" si="402"/>
        <v>सब्जी-रोटी</v>
      </c>
      <c r="U51" s="3">
        <v>2</v>
      </c>
      <c r="V51" s="3">
        <f ca="1">IF(P47&gt;=U51,SUMIFS(U14:U44,O46:O76,U51),0)</f>
        <v>0</v>
      </c>
      <c r="W51" s="3">
        <f ca="1">IF(P47&gt;=U51,SUMIFS(V14:V44,O46:O76,U51),0)</f>
        <v>0</v>
      </c>
      <c r="AM51" s="3">
        <f t="shared" ca="1" si="37"/>
        <v>0</v>
      </c>
      <c r="AN51" s="3">
        <f ca="1">IFERROR(IF(AM51=1,(IF((AT19+AU19)&gt;=1,LARGE(AN$46:AN50,1)+1,0)),0),0)</f>
        <v>0</v>
      </c>
      <c r="AQ51" s="3" t="str">
        <f t="shared" ca="1" si="39"/>
        <v>खिचड़ी-सब्जी</v>
      </c>
      <c r="AT51" s="3">
        <v>2</v>
      </c>
      <c r="AU51" s="3">
        <f t="shared" ref="AU51" ca="1" si="425">IF(AO47&gt;=AT51,SUMIFS(AT14:AT44,AN46:AN76,AT51),0)</f>
        <v>0</v>
      </c>
      <c r="AV51" s="3">
        <f t="shared" ref="AV51" ca="1" si="426">IF(AO47&gt;=AT51,SUMIFS(AU14:AU44,AN46:AN76,AT51),0)</f>
        <v>0</v>
      </c>
      <c r="BL51" s="3">
        <f t="shared" ca="1" si="37"/>
        <v>0</v>
      </c>
      <c r="BM51" s="3">
        <f ca="1">IFERROR(IF(BL51=1,(IF((BS19+BT19)&gt;=1,LARGE(BM$46:BM50,1)+1,0)),0),0)</f>
        <v>0</v>
      </c>
      <c r="BP51" s="3" t="str">
        <f t="shared" ca="1" si="55"/>
        <v>सब्जी-रोटी</v>
      </c>
      <c r="BS51" s="3">
        <v>2</v>
      </c>
      <c r="BT51" s="3">
        <f t="shared" ref="BT51" ca="1" si="427">IF(BN47&gt;=BS51,SUMIFS(BS14:BS44,BM46:BM76,BS51),0)</f>
        <v>0</v>
      </c>
      <c r="BU51" s="3">
        <f t="shared" ref="BU51" ca="1" si="428">IF(BN47&gt;=BS51,SUMIFS(BT14:BT44,BM46:BM76,BS51),0)</f>
        <v>0</v>
      </c>
      <c r="CK51" s="3">
        <f t="shared" ca="1" si="37"/>
        <v>0</v>
      </c>
      <c r="CL51" s="3">
        <f ca="1">IFERROR(IF(CK51=1,(IF((CR19+CS19)&gt;=1,LARGE(CL$46:CL50,1)+1,0)),0),0)</f>
        <v>0</v>
      </c>
      <c r="CO51" s="3" t="str">
        <f t="shared" ca="1" si="71"/>
        <v>दाल-चावल</v>
      </c>
      <c r="CR51" s="3">
        <v>2</v>
      </c>
      <c r="CS51" s="3">
        <f t="shared" ref="CS51" ca="1" si="429">IF(CM47&gt;=CR51,SUMIFS(CR14:CR44,CL46:CL76,CR51),0)</f>
        <v>0</v>
      </c>
      <c r="CT51" s="3">
        <f t="shared" ref="CT51" ca="1" si="430">IF(CM47&gt;=CR51,SUMIFS(CS14:CS44,CL46:CL76,CR51),0)</f>
        <v>0</v>
      </c>
      <c r="DJ51" s="3">
        <f t="shared" ca="1" si="85"/>
        <v>0</v>
      </c>
      <c r="DK51" s="3">
        <f ca="1">IFERROR(IF(DJ51=1,(IF((DQ19+DR19)&gt;=1,LARGE(DK$46:DK50,1)+1,0)),0),0)</f>
        <v>0</v>
      </c>
      <c r="DN51" s="3" t="str">
        <f t="shared" ca="1" si="87"/>
        <v>दाल-रोटी</v>
      </c>
      <c r="DQ51" s="3">
        <v>2</v>
      </c>
      <c r="DR51" s="3">
        <f t="shared" ref="DR51" ca="1" si="431">IF(DL47&gt;=DQ51,SUMIFS(DQ14:DQ44,DK46:DK76,DQ51),0)</f>
        <v>0</v>
      </c>
      <c r="DS51" s="3">
        <f t="shared" ref="DS51" ca="1" si="432">IF(DL47&gt;=DQ51,SUMIFS(DR14:DR44,DK46:DK76,DQ51),0)</f>
        <v>0</v>
      </c>
      <c r="EI51" s="3">
        <f t="shared" ca="1" si="85"/>
        <v>0</v>
      </c>
      <c r="EJ51" s="3">
        <f ca="1">IFERROR(IF(EI51=1,(IF((EP19+EQ19)&gt;=1,LARGE(EJ$46:EJ50,1)+1,0)),0),0)</f>
        <v>0</v>
      </c>
      <c r="EM51" s="3">
        <f t="shared" ca="1" si="103"/>
        <v>0</v>
      </c>
      <c r="EP51" s="3">
        <v>2</v>
      </c>
      <c r="EQ51" s="3">
        <f t="shared" ref="EQ51" ca="1" si="433">IF(EK47&gt;=EP51,SUMIFS(EP14:EP44,EJ46:EJ76,EP51),0)</f>
        <v>0</v>
      </c>
      <c r="ER51" s="3">
        <f t="shared" ref="ER51" ca="1" si="434">IF(EK47&gt;=EP51,SUMIFS(EQ14:EQ44,EJ46:EJ76,EP51),0)</f>
        <v>0</v>
      </c>
      <c r="FH51" s="3">
        <f t="shared" ca="1" si="117"/>
        <v>0</v>
      </c>
      <c r="FI51" s="3">
        <f ca="1">IFERROR(IF(FH51=1,(IF((FO19+FP19)&gt;=1,LARGE(FI$46:FI50,1)+1,0)),0),0)</f>
        <v>0</v>
      </c>
      <c r="FL51" s="3" t="str">
        <f t="shared" ca="1" si="119"/>
        <v>दाल-रोटी</v>
      </c>
      <c r="FO51" s="3">
        <v>2</v>
      </c>
      <c r="FP51" s="3">
        <f t="shared" ref="FP51" ca="1" si="435">IF(FJ47&gt;=FO51,SUMIFS(FO14:FO44,FI46:FI76,FO51),0)</f>
        <v>0</v>
      </c>
      <c r="FQ51" s="3">
        <f t="shared" ref="FQ51" ca="1" si="436">IF(FJ47&gt;=FO51,SUMIFS(FP14:FP44,FI46:FI76,FO51),0)</f>
        <v>0</v>
      </c>
      <c r="GG51" s="3">
        <f t="shared" ca="1" si="117"/>
        <v>0</v>
      </c>
      <c r="GH51" s="3">
        <f ca="1">IFERROR(IF(GG51=1,(IF((GN19+GO19)&gt;=1,LARGE(GH$46:GH50,1)+1,0)),0),0)</f>
        <v>0</v>
      </c>
      <c r="GK51" s="3" t="str">
        <f t="shared" ca="1" si="135"/>
        <v>दाल-रोटी</v>
      </c>
      <c r="GN51" s="3">
        <v>2</v>
      </c>
      <c r="GO51" s="3">
        <f t="shared" ref="GO51" ca="1" si="437">IF(GI47&gt;=GN51,SUMIFS(GN14:GN44,GH46:GH76,GN51),0)</f>
        <v>0</v>
      </c>
      <c r="GP51" s="3">
        <f t="shared" ref="GP51" ca="1" si="438">IF(GI47&gt;=GN51,SUMIFS(GO14:GO44,GH46:GH76,GN51),0)</f>
        <v>0</v>
      </c>
      <c r="HF51" s="3">
        <f t="shared" ca="1" si="149"/>
        <v>1</v>
      </c>
      <c r="HG51" s="3">
        <f ca="1">IFERROR(IF(HF51=1,(IF((HM19+HN19)&gt;=1,LARGE(HG$46:HG50,1)+1,0)),0),0)</f>
        <v>0</v>
      </c>
      <c r="HJ51" s="3" t="str">
        <f t="shared" ca="1" si="151"/>
        <v>सब्जी-रोटी</v>
      </c>
      <c r="HM51" s="3">
        <v>2</v>
      </c>
      <c r="HN51" s="3">
        <f t="shared" ref="HN51" ca="1" si="439">IF(HH47&gt;=HM51,SUMIFS(HM14:HM44,HG46:HG76,HM51),0)</f>
        <v>0</v>
      </c>
      <c r="HO51" s="3">
        <f t="shared" ref="HO51" ca="1" si="440">IF(HH47&gt;=HM51,SUMIFS(HN14:HN44,HG46:HG76,HM51),0)</f>
        <v>0</v>
      </c>
      <c r="IE51" s="3">
        <f t="shared" ca="1" si="149"/>
        <v>0</v>
      </c>
      <c r="IF51" s="3">
        <f ca="1">IFERROR(IF(IE51=1,(IF((IL19+IM19)&gt;=1,LARGE(IF$46:IF50,1)+1,0)),0),0)</f>
        <v>0</v>
      </c>
      <c r="II51" s="3" t="str">
        <f t="shared" ca="1" si="167"/>
        <v/>
      </c>
      <c r="IL51" s="3">
        <v>2</v>
      </c>
      <c r="IM51" s="3">
        <f t="shared" ref="IM51" ca="1" si="441">IF(IG47&gt;=IL51,SUMIFS(IL14:IL44,IF46:IF76,IL51),0)</f>
        <v>0</v>
      </c>
      <c r="IN51" s="3">
        <f t="shared" ref="IN51" ca="1" si="442">IF(IG47&gt;=IL51,SUMIFS(IM14:IM44,IF46:IF76,IL51),0)</f>
        <v>0</v>
      </c>
      <c r="JD51" s="3">
        <f t="shared" ca="1" si="181"/>
        <v>0</v>
      </c>
      <c r="JE51" s="3">
        <f ca="1">IFERROR(IF(JD51=1,(IF((JK19+JL19)&gt;=1,LARGE(JE$46:JE50,1)+1,0)),0),0)</f>
        <v>0</v>
      </c>
      <c r="JH51" s="3" t="str">
        <f t="shared" ca="1" si="183"/>
        <v/>
      </c>
      <c r="JK51" s="3">
        <v>2</v>
      </c>
      <c r="JL51" s="3">
        <f t="shared" ref="JL51" ca="1" si="443">IF(JF47&gt;=JK51,SUMIFS(JK14:JK44,JE46:JE76,JK51),0)</f>
        <v>0</v>
      </c>
      <c r="JM51" s="3">
        <f t="shared" ref="JM51" ca="1" si="444">IF(JF47&gt;=JK51,SUMIFS(JL14:JL44,JE46:JE76,JK51),0)</f>
        <v>0</v>
      </c>
      <c r="KC51" s="3">
        <f t="shared" ca="1" si="181"/>
        <v>0</v>
      </c>
      <c r="KD51" s="3">
        <f ca="1">IFERROR(IF(KC51=1,(IF((KJ19+KK19)&gt;=1,LARGE(KD$46:KD50,1)+1,0)),0),0)</f>
        <v>0</v>
      </c>
      <c r="KG51" s="3" t="str">
        <f t="shared" ca="1" si="199"/>
        <v/>
      </c>
      <c r="KJ51" s="3">
        <v>2</v>
      </c>
      <c r="KK51" s="3">
        <f t="shared" ref="KK51" ca="1" si="445">IF(KE47&gt;=KJ51,SUMIFS(KJ14:KJ44,KD46:KD76,KJ51),0)</f>
        <v>0</v>
      </c>
      <c r="KL51" s="3">
        <f t="shared" ref="KL51" ca="1" si="446">IF(KE47&gt;=KJ51,SUMIFS(KK14:KK44,KD46:KD76,KJ51),0)</f>
        <v>0</v>
      </c>
    </row>
    <row r="52" spans="14:298" hidden="1" x14ac:dyDescent="0.25">
      <c r="N52" s="3">
        <f t="shared" ca="1" si="213"/>
        <v>0</v>
      </c>
      <c r="O52" s="3">
        <f ca="1">IFERROR(IF(N52=1,(IF((U20+V20)&gt;=1,LARGE(O$46:O51,1)+1,0)),0),0)</f>
        <v>0</v>
      </c>
      <c r="R52" s="3" t="str">
        <f t="shared" ca="1" si="402"/>
        <v>दाल-चावल</v>
      </c>
      <c r="U52" s="3">
        <v>3</v>
      </c>
      <c r="V52" s="3">
        <f ca="1">IF(P47&gt;=U52,SUMIFS(U14:U44,O46:O76,U52),0)</f>
        <v>0</v>
      </c>
      <c r="W52" s="3">
        <f ca="1">IF(P47&gt;=U52,SUMIFS(V14:V44,O46:O76,U52),0)</f>
        <v>0</v>
      </c>
      <c r="AM52" s="3">
        <f t="shared" ca="1" si="37"/>
        <v>0</v>
      </c>
      <c r="AN52" s="3">
        <f ca="1">IFERROR(IF(AM52=1,(IF((AT20+AU20)&gt;=1,LARGE(AN$46:AN51,1)+1,0)),0),0)</f>
        <v>0</v>
      </c>
      <c r="AQ52" s="3" t="str">
        <f t="shared" ca="1" si="39"/>
        <v>दाल-रोटी</v>
      </c>
      <c r="AT52" s="3">
        <v>3</v>
      </c>
      <c r="AU52" s="3">
        <f t="shared" ref="AU52" ca="1" si="447">IF(AO47&gt;=AT52,SUMIFS(AT14:AT44,AN46:AN76,AT52),0)</f>
        <v>0</v>
      </c>
      <c r="AV52" s="3">
        <f t="shared" ref="AV52" ca="1" si="448">IF(AO47&gt;=AT52,SUMIFS(AU14:AU44,AN46:AN76,AT52),0)</f>
        <v>0</v>
      </c>
      <c r="BL52" s="3">
        <f t="shared" ca="1" si="37"/>
        <v>0</v>
      </c>
      <c r="BM52" s="3">
        <f ca="1">IFERROR(IF(BL52=1,(IF((BS20+BT20)&gt;=1,LARGE(BM$46:BM51,1)+1,0)),0),0)</f>
        <v>0</v>
      </c>
      <c r="BP52" s="3">
        <f t="shared" ca="1" si="55"/>
        <v>0</v>
      </c>
      <c r="BS52" s="3">
        <v>3</v>
      </c>
      <c r="BT52" s="3">
        <f t="shared" ref="BT52" ca="1" si="449">IF(BN47&gt;=BS52,SUMIFS(BS14:BS44,BM46:BM76,BS52),0)</f>
        <v>0</v>
      </c>
      <c r="BU52" s="3">
        <f t="shared" ref="BU52" ca="1" si="450">IF(BN47&gt;=BS52,SUMIFS(BT14:BT44,BM46:BM76,BS52),0)</f>
        <v>0</v>
      </c>
      <c r="CK52" s="3">
        <f t="shared" ca="1" si="37"/>
        <v>0</v>
      </c>
      <c r="CL52" s="3">
        <f ca="1">IFERROR(IF(CK52=1,(IF((CR20+CS20)&gt;=1,LARGE(CL$46:CL51,1)+1,0)),0),0)</f>
        <v>0</v>
      </c>
      <c r="CO52" s="3" t="str">
        <f t="shared" ca="1" si="71"/>
        <v>दाल-रोटी</v>
      </c>
      <c r="CR52" s="3">
        <v>3</v>
      </c>
      <c r="CS52" s="3">
        <f t="shared" ref="CS52" ca="1" si="451">IF(CM47&gt;=CR52,SUMIFS(CR14:CR44,CL46:CL76,CR52),0)</f>
        <v>0</v>
      </c>
      <c r="CT52" s="3">
        <f t="shared" ref="CT52" ca="1" si="452">IF(CM47&gt;=CR52,SUMIFS(CS14:CS44,CL46:CL76,CR52),0)</f>
        <v>0</v>
      </c>
      <c r="DJ52" s="3">
        <f t="shared" ca="1" si="85"/>
        <v>0</v>
      </c>
      <c r="DK52" s="3">
        <f ca="1">IFERROR(IF(DJ52=1,(IF((DQ20+DR20)&gt;=1,LARGE(DK$46:DK51,1)+1,0)),0),0)</f>
        <v>0</v>
      </c>
      <c r="DN52" s="3" t="str">
        <f t="shared" ca="1" si="87"/>
        <v>सब्जी-रोटी</v>
      </c>
      <c r="DQ52" s="3">
        <v>3</v>
      </c>
      <c r="DR52" s="3">
        <f t="shared" ref="DR52" ca="1" si="453">IF(DL47&gt;=DQ52,SUMIFS(DQ14:DQ44,DK46:DK76,DQ52),0)</f>
        <v>0</v>
      </c>
      <c r="DS52" s="3">
        <f t="shared" ref="DS52" ca="1" si="454">IF(DL47&gt;=DQ52,SUMIFS(DR14:DR44,DK46:DK76,DQ52),0)</f>
        <v>0</v>
      </c>
      <c r="EI52" s="3">
        <f t="shared" ca="1" si="85"/>
        <v>1</v>
      </c>
      <c r="EJ52" s="3">
        <f ca="1">IFERROR(IF(EI52=1,(IF((EP20+EQ20)&gt;=1,LARGE(EJ$46:EJ51,1)+1,0)),0),0)</f>
        <v>0</v>
      </c>
      <c r="EM52" s="3" t="str">
        <f t="shared" ca="1" si="103"/>
        <v>सब्जी-रोटी</v>
      </c>
      <c r="EP52" s="3">
        <v>3</v>
      </c>
      <c r="EQ52" s="3">
        <f t="shared" ref="EQ52" ca="1" si="455">IF(EK47&gt;=EP52,SUMIFS(EP14:EP44,EJ46:EJ76,EP52),0)</f>
        <v>0</v>
      </c>
      <c r="ER52" s="3">
        <f t="shared" ref="ER52" ca="1" si="456">IF(EK47&gt;=EP52,SUMIFS(EQ14:EQ44,EJ46:EJ76,EP52),0)</f>
        <v>0</v>
      </c>
      <c r="FH52" s="3">
        <f t="shared" ca="1" si="117"/>
        <v>0</v>
      </c>
      <c r="FI52" s="3">
        <f ca="1">IFERROR(IF(FH52=1,(IF((FO20+FP20)&gt;=1,LARGE(FI$46:FI51,1)+1,0)),0),0)</f>
        <v>0</v>
      </c>
      <c r="FL52" s="3" t="str">
        <f t="shared" ca="1" si="119"/>
        <v>खिचड़ी-सब्जी</v>
      </c>
      <c r="FO52" s="3">
        <v>3</v>
      </c>
      <c r="FP52" s="3">
        <f t="shared" ref="FP52" ca="1" si="457">IF(FJ47&gt;=FO52,SUMIFS(FO14:FO44,FI46:FI76,FO52),0)</f>
        <v>0</v>
      </c>
      <c r="FQ52" s="3">
        <f t="shared" ref="FQ52" ca="1" si="458">IF(FJ47&gt;=FO52,SUMIFS(FP14:FP44,FI46:FI76,FO52),0)</f>
        <v>0</v>
      </c>
      <c r="GG52" s="3">
        <f t="shared" ca="1" si="117"/>
        <v>0</v>
      </c>
      <c r="GH52" s="3">
        <f ca="1">IFERROR(IF(GG52=1,(IF((GN20+GO20)&gt;=1,LARGE(GH$46:GH51,1)+1,0)),0),0)</f>
        <v>0</v>
      </c>
      <c r="GK52" s="3" t="str">
        <f t="shared" ca="1" si="135"/>
        <v>सब्जी-रोटी</v>
      </c>
      <c r="GN52" s="3">
        <v>3</v>
      </c>
      <c r="GO52" s="3">
        <f t="shared" ref="GO52" ca="1" si="459">IF(GI47&gt;=GN52,SUMIFS(GN14:GN44,GH46:GH76,GN52),0)</f>
        <v>0</v>
      </c>
      <c r="GP52" s="3">
        <f t="shared" ref="GP52" ca="1" si="460">IF(GI47&gt;=GN52,SUMIFS(GO14:GO44,GH46:GH76,GN52),0)</f>
        <v>0</v>
      </c>
      <c r="HF52" s="3">
        <f t="shared" ca="1" si="149"/>
        <v>0</v>
      </c>
      <c r="HG52" s="3">
        <f ca="1">IFERROR(IF(HF52=1,(IF((HM20+HN20)&gt;=1,LARGE(HG$46:HG51,1)+1,0)),0),0)</f>
        <v>0</v>
      </c>
      <c r="HJ52" s="3" t="str">
        <f t="shared" ca="1" si="151"/>
        <v>दाल-चावल</v>
      </c>
      <c r="HM52" s="3">
        <v>3</v>
      </c>
      <c r="HN52" s="3">
        <f t="shared" ref="HN52" ca="1" si="461">IF(HH47&gt;=HM52,SUMIFS(HM14:HM44,HG46:HG76,HM52),0)</f>
        <v>0</v>
      </c>
      <c r="HO52" s="3">
        <f t="shared" ref="HO52" ca="1" si="462">IF(HH47&gt;=HM52,SUMIFS(HN14:HN44,HG46:HG76,HM52),0)</f>
        <v>0</v>
      </c>
      <c r="IE52" s="3">
        <f t="shared" ca="1" si="149"/>
        <v>0</v>
      </c>
      <c r="IF52" s="3">
        <f ca="1">IFERROR(IF(IE52=1,(IF((IL20+IM20)&gt;=1,LARGE(IF$46:IF51,1)+1,0)),0),0)</f>
        <v>0</v>
      </c>
      <c r="II52" s="3" t="str">
        <f t="shared" ca="1" si="167"/>
        <v/>
      </c>
      <c r="IL52" s="3">
        <v>3</v>
      </c>
      <c r="IM52" s="3">
        <f t="shared" ref="IM52" ca="1" si="463">IF(IG47&gt;=IL52,SUMIFS(IL14:IL44,IF46:IF76,IL52),0)</f>
        <v>0</v>
      </c>
      <c r="IN52" s="3">
        <f t="shared" ref="IN52" ca="1" si="464">IF(IG47&gt;=IL52,SUMIFS(IM14:IM44,IF46:IF76,IL52),0)</f>
        <v>0</v>
      </c>
      <c r="JD52" s="3">
        <f t="shared" ca="1" si="181"/>
        <v>0</v>
      </c>
      <c r="JE52" s="3">
        <f ca="1">IFERROR(IF(JD52=1,(IF((JK20+JL20)&gt;=1,LARGE(JE$46:JE51,1)+1,0)),0),0)</f>
        <v>0</v>
      </c>
      <c r="JH52" s="3" t="str">
        <f t="shared" ca="1" si="183"/>
        <v/>
      </c>
      <c r="JK52" s="3">
        <v>3</v>
      </c>
      <c r="JL52" s="3">
        <f t="shared" ref="JL52" ca="1" si="465">IF(JF47&gt;=JK52,SUMIFS(JK14:JK44,JE46:JE76,JK52),0)</f>
        <v>0</v>
      </c>
      <c r="JM52" s="3">
        <f t="shared" ref="JM52" ca="1" si="466">IF(JF47&gt;=JK52,SUMIFS(JL14:JL44,JE46:JE76,JK52),0)</f>
        <v>0</v>
      </c>
      <c r="KC52" s="3">
        <f t="shared" ca="1" si="181"/>
        <v>0</v>
      </c>
      <c r="KD52" s="3">
        <f ca="1">IFERROR(IF(KC52=1,(IF((KJ20+KK20)&gt;=1,LARGE(KD$46:KD51,1)+1,0)),0),0)</f>
        <v>0</v>
      </c>
      <c r="KG52" s="3" t="str">
        <f t="shared" ca="1" si="199"/>
        <v/>
      </c>
      <c r="KJ52" s="3">
        <v>3</v>
      </c>
      <c r="KK52" s="3">
        <f t="shared" ref="KK52" ca="1" si="467">IF(KE47&gt;=KJ52,SUMIFS(KJ14:KJ44,KD46:KD76,KJ52),0)</f>
        <v>0</v>
      </c>
      <c r="KL52" s="3">
        <f t="shared" ref="KL52" ca="1" si="468">IF(KE47&gt;=KJ52,SUMIFS(KK14:KK44,KD46:KD76,KJ52),0)</f>
        <v>0</v>
      </c>
    </row>
    <row r="53" spans="14:298" hidden="1" x14ac:dyDescent="0.25">
      <c r="N53" s="3">
        <f t="shared" ca="1" si="213"/>
        <v>0</v>
      </c>
      <c r="O53" s="3">
        <f ca="1">IFERROR(IF(N53=1,(IF((U21+V21)&gt;=1,LARGE(O$46:O52,1)+1,0)),0),0)</f>
        <v>0</v>
      </c>
      <c r="R53" s="3" t="str">
        <f t="shared" ca="1" si="402"/>
        <v>दाल-रोटी</v>
      </c>
      <c r="U53" s="3">
        <v>4</v>
      </c>
      <c r="V53" s="3">
        <f ca="1">IF(P47&gt;=U53,SUMIFS(U14:U44,O46:O76,U53),0)</f>
        <v>0</v>
      </c>
      <c r="W53" s="3">
        <f ca="1">IF(P47&gt;=U53,SUMIFS(V14:V44,O46:O76,U53),0)</f>
        <v>0</v>
      </c>
      <c r="AM53" s="3">
        <f t="shared" ca="1" si="37"/>
        <v>0</v>
      </c>
      <c r="AN53" s="3">
        <f ca="1">IFERROR(IF(AM53=1,(IF((AT21+AU21)&gt;=1,LARGE(AN$46:AN52,1)+1,0)),0),0)</f>
        <v>0</v>
      </c>
      <c r="AQ53" s="3" t="str">
        <f t="shared" ca="1" si="39"/>
        <v>सब्जी-रोटी</v>
      </c>
      <c r="AT53" s="3">
        <v>4</v>
      </c>
      <c r="AU53" s="3">
        <f t="shared" ref="AU53" ca="1" si="469">IF(AO47&gt;=AT53,SUMIFS(AT14:AT44,AN46:AN76,AT53),0)</f>
        <v>0</v>
      </c>
      <c r="AV53" s="3">
        <f t="shared" ref="AV53" ca="1" si="470">IF(AO47&gt;=AT53,SUMIFS(AU14:AU44,AN46:AN76,AT53),0)</f>
        <v>0</v>
      </c>
      <c r="BL53" s="3">
        <f t="shared" ca="1" si="37"/>
        <v>1</v>
      </c>
      <c r="BM53" s="3">
        <f ca="1">IFERROR(IF(BL53=1,(IF((BS21+BT21)&gt;=1,LARGE(BM$46:BM52,1)+1,0)),0),0)</f>
        <v>0</v>
      </c>
      <c r="BP53" s="3" t="str">
        <f t="shared" ca="1" si="55"/>
        <v>सब्जी-रोटी</v>
      </c>
      <c r="BS53" s="3">
        <v>4</v>
      </c>
      <c r="BT53" s="3">
        <f t="shared" ref="BT53" ca="1" si="471">IF(BN47&gt;=BS53,SUMIFS(BS14:BS44,BM46:BM76,BS53),0)</f>
        <v>0</v>
      </c>
      <c r="BU53" s="3">
        <f t="shared" ref="BU53" ca="1" si="472">IF(BN47&gt;=BS53,SUMIFS(BT14:BT44,BM46:BM76,BS53),0)</f>
        <v>0</v>
      </c>
      <c r="CK53" s="3">
        <f t="shared" ca="1" si="37"/>
        <v>0</v>
      </c>
      <c r="CL53" s="3">
        <f ca="1">IFERROR(IF(CK53=1,(IF((CR21+CS21)&gt;=1,LARGE(CL$46:CL52,1)+1,0)),0),0)</f>
        <v>0</v>
      </c>
      <c r="CO53" s="3" t="str">
        <f t="shared" ca="1" si="71"/>
        <v>खिचड़ी-सब्जी</v>
      </c>
      <c r="CR53" s="3">
        <v>4</v>
      </c>
      <c r="CS53" s="3">
        <f t="shared" ref="CS53" ca="1" si="473">IF(CM47&gt;=CR53,SUMIFS(CR14:CR44,CL46:CL76,CR53),0)</f>
        <v>0</v>
      </c>
      <c r="CT53" s="3">
        <f t="shared" ref="CT53" ca="1" si="474">IF(CM47&gt;=CR53,SUMIFS(CS14:CS44,CL46:CL76,CR53),0)</f>
        <v>0</v>
      </c>
      <c r="DJ53" s="3">
        <f t="shared" ca="1" si="85"/>
        <v>0</v>
      </c>
      <c r="DK53" s="3">
        <f ca="1">IFERROR(IF(DJ53=1,(IF((DQ21+DR21)&gt;=1,LARGE(DK$46:DK52,1)+1,0)),0),0)</f>
        <v>0</v>
      </c>
      <c r="DN53" s="3">
        <f t="shared" ca="1" si="87"/>
        <v>0</v>
      </c>
      <c r="DQ53" s="3">
        <v>4</v>
      </c>
      <c r="DR53" s="3">
        <f t="shared" ref="DR53" ca="1" si="475">IF(DL47&gt;=DQ53,SUMIFS(DQ14:DQ44,DK46:DK76,DQ53),0)</f>
        <v>0</v>
      </c>
      <c r="DS53" s="3">
        <f t="shared" ref="DS53" ca="1" si="476">IF(DL47&gt;=DQ53,SUMIFS(DR14:DR44,DK46:DK76,DQ53),0)</f>
        <v>0</v>
      </c>
      <c r="EI53" s="3">
        <f t="shared" ca="1" si="85"/>
        <v>0</v>
      </c>
      <c r="EJ53" s="3">
        <f ca="1">IFERROR(IF(EI53=1,(IF((EP21+EQ21)&gt;=1,LARGE(EJ$46:EJ52,1)+1,0)),0),0)</f>
        <v>0</v>
      </c>
      <c r="EM53" s="3" t="str">
        <f t="shared" ca="1" si="103"/>
        <v>दाल-चावल</v>
      </c>
      <c r="EP53" s="3">
        <v>4</v>
      </c>
      <c r="EQ53" s="3">
        <f t="shared" ref="EQ53" ca="1" si="477">IF(EK47&gt;=EP53,SUMIFS(EP14:EP44,EJ46:EJ76,EP53),0)</f>
        <v>0</v>
      </c>
      <c r="ER53" s="3">
        <f t="shared" ref="ER53" ca="1" si="478">IF(EK47&gt;=EP53,SUMIFS(EQ14:EQ44,EJ46:EJ76,EP53),0)</f>
        <v>0</v>
      </c>
      <c r="FH53" s="3">
        <f t="shared" ca="1" si="117"/>
        <v>0</v>
      </c>
      <c r="FI53" s="3">
        <f ca="1">IFERROR(IF(FH53=1,(IF((FO21+FP21)&gt;=1,LARGE(FI$46:FI52,1)+1,0)),0),0)</f>
        <v>0</v>
      </c>
      <c r="FL53" s="3" t="str">
        <f t="shared" ca="1" si="119"/>
        <v>दाल-रोटी</v>
      </c>
      <c r="FO53" s="3">
        <v>4</v>
      </c>
      <c r="FP53" s="3">
        <f t="shared" ref="FP53" ca="1" si="479">IF(FJ47&gt;=FO53,SUMIFS(FO14:FO44,FI46:FI76,FO53),0)</f>
        <v>0</v>
      </c>
      <c r="FQ53" s="3">
        <f t="shared" ref="FQ53" ca="1" si="480">IF(FJ47&gt;=FO53,SUMIFS(FP14:FP44,FI46:FI76,FO53),0)</f>
        <v>0</v>
      </c>
      <c r="GG53" s="3">
        <f t="shared" ca="1" si="117"/>
        <v>0</v>
      </c>
      <c r="GH53" s="3">
        <f ca="1">IFERROR(IF(GG53=1,(IF((GN21+GO21)&gt;=1,LARGE(GH$46:GH52,1)+1,0)),0),0)</f>
        <v>0</v>
      </c>
      <c r="GK53" s="3">
        <f t="shared" ca="1" si="135"/>
        <v>0</v>
      </c>
      <c r="GN53" s="3">
        <v>4</v>
      </c>
      <c r="GO53" s="3">
        <f t="shared" ref="GO53" ca="1" si="481">IF(GI47&gt;=GN53,SUMIFS(GN14:GN44,GH46:GH76,GN53),0)</f>
        <v>0</v>
      </c>
      <c r="GP53" s="3">
        <f t="shared" ref="GP53" ca="1" si="482">IF(GI47&gt;=GN53,SUMIFS(GO14:GO44,GH46:GH76,GN53),0)</f>
        <v>0</v>
      </c>
      <c r="HF53" s="3">
        <f t="shared" ca="1" si="149"/>
        <v>0</v>
      </c>
      <c r="HG53" s="3">
        <f ca="1">IFERROR(IF(HF53=1,(IF((HM21+HN21)&gt;=1,LARGE(HG$46:HG52,1)+1,0)),0),0)</f>
        <v>0</v>
      </c>
      <c r="HJ53" s="3" t="str">
        <f t="shared" ca="1" si="151"/>
        <v>दाल-रोटी</v>
      </c>
      <c r="HM53" s="3">
        <v>4</v>
      </c>
      <c r="HN53" s="3">
        <f t="shared" ref="HN53" ca="1" si="483">IF(HH47&gt;=HM53,SUMIFS(HM14:HM44,HG46:HG76,HM53),0)</f>
        <v>0</v>
      </c>
      <c r="HO53" s="3">
        <f t="shared" ref="HO53" ca="1" si="484">IF(HH47&gt;=HM53,SUMIFS(HN14:HN44,HG46:HG76,HM53),0)</f>
        <v>0</v>
      </c>
      <c r="IE53" s="3">
        <f t="shared" ca="1" si="149"/>
        <v>0</v>
      </c>
      <c r="IF53" s="3">
        <f ca="1">IFERROR(IF(IE53=1,(IF((IL21+IM21)&gt;=1,LARGE(IF$46:IF52,1)+1,0)),0),0)</f>
        <v>0</v>
      </c>
      <c r="II53" s="3" t="str">
        <f t="shared" ca="1" si="167"/>
        <v/>
      </c>
      <c r="IL53" s="3">
        <v>4</v>
      </c>
      <c r="IM53" s="3">
        <f t="shared" ref="IM53" ca="1" si="485">IF(IG47&gt;=IL53,SUMIFS(IL14:IL44,IF46:IF76,IL53),0)</f>
        <v>0</v>
      </c>
      <c r="IN53" s="3">
        <f t="shared" ref="IN53" ca="1" si="486">IF(IG47&gt;=IL53,SUMIFS(IM14:IM44,IF46:IF76,IL53),0)</f>
        <v>0</v>
      </c>
      <c r="JD53" s="3">
        <f t="shared" ca="1" si="181"/>
        <v>0</v>
      </c>
      <c r="JE53" s="3">
        <f ca="1">IFERROR(IF(JD53=1,(IF((JK21+JL21)&gt;=1,LARGE(JE$46:JE52,1)+1,0)),0),0)</f>
        <v>0</v>
      </c>
      <c r="JH53" s="3" t="str">
        <f t="shared" ca="1" si="183"/>
        <v/>
      </c>
      <c r="JK53" s="3">
        <v>4</v>
      </c>
      <c r="JL53" s="3">
        <f t="shared" ref="JL53" ca="1" si="487">IF(JF47&gt;=JK53,SUMIFS(JK14:JK44,JE46:JE76,JK53),0)</f>
        <v>0</v>
      </c>
      <c r="JM53" s="3">
        <f t="shared" ref="JM53" ca="1" si="488">IF(JF47&gt;=JK53,SUMIFS(JL14:JL44,JE46:JE76,JK53),0)</f>
        <v>0</v>
      </c>
      <c r="KC53" s="3">
        <f t="shared" ca="1" si="181"/>
        <v>0</v>
      </c>
      <c r="KD53" s="3">
        <f ca="1">IFERROR(IF(KC53=1,(IF((KJ21+KK21)&gt;=1,LARGE(KD$46:KD52,1)+1,0)),0),0)</f>
        <v>0</v>
      </c>
      <c r="KG53" s="3" t="str">
        <f t="shared" ca="1" si="199"/>
        <v/>
      </c>
      <c r="KJ53" s="3">
        <v>4</v>
      </c>
      <c r="KK53" s="3">
        <f t="shared" ref="KK53" ca="1" si="489">IF(KE47&gt;=KJ53,SUMIFS(KJ14:KJ44,KD46:KD76,KJ53),0)</f>
        <v>0</v>
      </c>
      <c r="KL53" s="3">
        <f t="shared" ref="KL53" ca="1" si="490">IF(KE47&gt;=KJ53,SUMIFS(KK14:KK44,KD46:KD76,KJ53),0)</f>
        <v>0</v>
      </c>
    </row>
    <row r="54" spans="14:298" hidden="1" x14ac:dyDescent="0.25">
      <c r="N54" s="3">
        <f t="shared" ca="1" si="213"/>
        <v>0</v>
      </c>
      <c r="O54" s="3">
        <f ca="1">IFERROR(IF(N54=1,(IF((U22+V22)&gt;=1,LARGE(O$46:O53,1)+1,0)),0),0)</f>
        <v>0</v>
      </c>
      <c r="R54" s="3" t="str">
        <f t="shared" ca="1" si="402"/>
        <v>खिचड़ी-सब्जी</v>
      </c>
      <c r="U54" s="3">
        <v>5</v>
      </c>
      <c r="V54" s="3">
        <f ca="1">IF(P47&gt;=U54,SUMIFS(U14:U44,O46:O76,U54),0)</f>
        <v>0</v>
      </c>
      <c r="W54" s="3">
        <f ca="1">IF(P47&gt;=U54,SUMIFS(V14:V44,O46:O76,U54),0)</f>
        <v>0</v>
      </c>
      <c r="AM54" s="3">
        <f t="shared" ca="1" si="37"/>
        <v>0</v>
      </c>
      <c r="AN54" s="3">
        <f ca="1">IFERROR(IF(AM54=1,(IF((AT22+AU22)&gt;=1,LARGE(AN$46:AN53,1)+1,0)),0),0)</f>
        <v>0</v>
      </c>
      <c r="AQ54" s="3">
        <f t="shared" ca="1" si="39"/>
        <v>0</v>
      </c>
      <c r="AT54" s="3">
        <v>5</v>
      </c>
      <c r="AU54" s="3">
        <f t="shared" ref="AU54" ca="1" si="491">IF(AO47&gt;=AT54,SUMIFS(AT14:AT44,AN46:AN76,AT54),0)</f>
        <v>0</v>
      </c>
      <c r="AV54" s="3">
        <f t="shared" ref="AV54" ca="1" si="492">IF(AO47&gt;=AT54,SUMIFS(AU14:AU44,AN46:AN76,AT54),0)</f>
        <v>0</v>
      </c>
      <c r="BL54" s="3">
        <f t="shared" ca="1" si="37"/>
        <v>0</v>
      </c>
      <c r="BM54" s="3">
        <f ca="1">IFERROR(IF(BL54=1,(IF((BS22+BT22)&gt;=1,LARGE(BM$46:BM53,1)+1,0)),0),0)</f>
        <v>0</v>
      </c>
      <c r="BP54" s="3" t="str">
        <f t="shared" ca="1" si="55"/>
        <v>दाल-चावल</v>
      </c>
      <c r="BS54" s="3">
        <v>5</v>
      </c>
      <c r="BT54" s="3">
        <f t="shared" ref="BT54" ca="1" si="493">IF(BN47&gt;=BS54,SUMIFS(BS14:BS44,BM46:BM76,BS54),0)</f>
        <v>0</v>
      </c>
      <c r="BU54" s="3">
        <f t="shared" ref="BU54" ca="1" si="494">IF(BN47&gt;=BS54,SUMIFS(BT14:BT44,BM46:BM76,BS54),0)</f>
        <v>0</v>
      </c>
      <c r="CK54" s="3">
        <f t="shared" ca="1" si="37"/>
        <v>0</v>
      </c>
      <c r="CL54" s="3">
        <f ca="1">IFERROR(IF(CK54=1,(IF((CR22+CS22)&gt;=1,LARGE(CL$46:CL53,1)+1,0)),0),0)</f>
        <v>0</v>
      </c>
      <c r="CO54" s="3" t="str">
        <f t="shared" ca="1" si="71"/>
        <v>दाल-रोटी</v>
      </c>
      <c r="CR54" s="3">
        <v>5</v>
      </c>
      <c r="CS54" s="3">
        <f t="shared" ref="CS54" ca="1" si="495">IF(CM47&gt;=CR54,SUMIFS(CR14:CR44,CL46:CL76,CR54),0)</f>
        <v>0</v>
      </c>
      <c r="CT54" s="3">
        <f t="shared" ref="CT54" ca="1" si="496">IF(CM47&gt;=CR54,SUMIFS(CS14:CS44,CL46:CL76,CR54),0)</f>
        <v>0</v>
      </c>
      <c r="DJ54" s="3">
        <f t="shared" ca="1" si="85"/>
        <v>1</v>
      </c>
      <c r="DK54" s="3">
        <f ca="1">IFERROR(IF(DJ54=1,(IF((DQ22+DR22)&gt;=1,LARGE(DK$46:DK53,1)+1,0)),0),0)</f>
        <v>0</v>
      </c>
      <c r="DN54" s="3" t="str">
        <f t="shared" ca="1" si="87"/>
        <v>सब्जी-रोटी</v>
      </c>
      <c r="DQ54" s="3">
        <v>5</v>
      </c>
      <c r="DR54" s="3">
        <f t="shared" ref="DR54" ca="1" si="497">IF(DL47&gt;=DQ54,SUMIFS(DQ14:DQ44,DK46:DK76,DQ54),0)</f>
        <v>0</v>
      </c>
      <c r="DS54" s="3">
        <f t="shared" ref="DS54" ca="1" si="498">IF(DL47&gt;=DQ54,SUMIFS(DR14:DR44,DK46:DK76,DQ54),0)</f>
        <v>0</v>
      </c>
      <c r="EI54" s="3">
        <f t="shared" ca="1" si="85"/>
        <v>0</v>
      </c>
      <c r="EJ54" s="3">
        <f ca="1">IFERROR(IF(EI54=1,(IF((EP22+EQ22)&gt;=1,LARGE(EJ$46:EJ53,1)+1,0)),0),0)</f>
        <v>0</v>
      </c>
      <c r="EM54" s="3" t="str">
        <f t="shared" ca="1" si="103"/>
        <v>दाल-रोटी</v>
      </c>
      <c r="EP54" s="3">
        <v>5</v>
      </c>
      <c r="EQ54" s="3">
        <f t="shared" ref="EQ54" ca="1" si="499">IF(EK47&gt;=EP54,SUMIFS(EP14:EP44,EJ46:EJ76,EP54),0)</f>
        <v>0</v>
      </c>
      <c r="ER54" s="3">
        <f t="shared" ref="ER54" ca="1" si="500">IF(EK47&gt;=EP54,SUMIFS(EQ14:EQ44,EJ46:EJ76,EP54),0)</f>
        <v>0</v>
      </c>
      <c r="FH54" s="3">
        <f t="shared" ca="1" si="117"/>
        <v>0</v>
      </c>
      <c r="FI54" s="3">
        <f ca="1">IFERROR(IF(FH54=1,(IF((FO22+FP22)&gt;=1,LARGE(FI$46:FI53,1)+1,0)),0),0)</f>
        <v>0</v>
      </c>
      <c r="FL54" s="3" t="str">
        <f t="shared" ca="1" si="119"/>
        <v>सब्जी-रोटी</v>
      </c>
      <c r="FO54" s="3">
        <v>5</v>
      </c>
      <c r="FP54" s="3">
        <f t="shared" ref="FP54" ca="1" si="501">IF(FJ47&gt;=FO54,SUMIFS(FO14:FO44,FI46:FI76,FO54),0)</f>
        <v>0</v>
      </c>
      <c r="FQ54" s="3">
        <f t="shared" ref="FQ54" ca="1" si="502">IF(FJ47&gt;=FO54,SUMIFS(FP14:FP44,FI46:FI76,FO54),0)</f>
        <v>0</v>
      </c>
      <c r="GG54" s="3">
        <f t="shared" ca="1" si="117"/>
        <v>1</v>
      </c>
      <c r="GH54" s="3">
        <f ca="1">IFERROR(IF(GG54=1,(IF((GN22+GO22)&gt;=1,LARGE(GH$46:GH53,1)+1,0)),0),0)</f>
        <v>0</v>
      </c>
      <c r="GK54" s="3" t="str">
        <f t="shared" ca="1" si="135"/>
        <v>सब्जी-रोटी</v>
      </c>
      <c r="GN54" s="3">
        <v>5</v>
      </c>
      <c r="GO54" s="3">
        <f t="shared" ref="GO54" ca="1" si="503">IF(GI47&gt;=GN54,SUMIFS(GN14:GN44,GH46:GH76,GN54),0)</f>
        <v>0</v>
      </c>
      <c r="GP54" s="3">
        <f t="shared" ref="GP54" ca="1" si="504">IF(GI47&gt;=GN54,SUMIFS(GO14:GO44,GH46:GH76,GN54),0)</f>
        <v>0</v>
      </c>
      <c r="HF54" s="3">
        <f t="shared" ca="1" si="149"/>
        <v>0</v>
      </c>
      <c r="HG54" s="3">
        <f ca="1">IFERROR(IF(HF54=1,(IF((HM22+HN22)&gt;=1,LARGE(HG$46:HG53,1)+1,0)),0),0)</f>
        <v>0</v>
      </c>
      <c r="HJ54" s="3" t="str">
        <f t="shared" ca="1" si="151"/>
        <v>खिचड़ी-सब्जी</v>
      </c>
      <c r="HM54" s="3">
        <v>5</v>
      </c>
      <c r="HN54" s="3">
        <f t="shared" ref="HN54" ca="1" si="505">IF(HH47&gt;=HM54,SUMIFS(HM14:HM44,HG46:HG76,HM54),0)</f>
        <v>0</v>
      </c>
      <c r="HO54" s="3">
        <f t="shared" ref="HO54" ca="1" si="506">IF(HH47&gt;=HM54,SUMIFS(HN14:HN44,HG46:HG76,HM54),0)</f>
        <v>0</v>
      </c>
      <c r="IE54" s="3">
        <f t="shared" ca="1" si="149"/>
        <v>0</v>
      </c>
      <c r="IF54" s="3">
        <f ca="1">IFERROR(IF(IE54=1,(IF((IL22+IM22)&gt;=1,LARGE(IF$46:IF53,1)+1,0)),0),0)</f>
        <v>0</v>
      </c>
      <c r="II54" s="3" t="str">
        <f t="shared" ca="1" si="167"/>
        <v/>
      </c>
      <c r="IL54" s="3">
        <v>5</v>
      </c>
      <c r="IM54" s="3">
        <f t="shared" ref="IM54" ca="1" si="507">IF(IG47&gt;=IL54,SUMIFS(IL14:IL44,IF46:IF76,IL54),0)</f>
        <v>0</v>
      </c>
      <c r="IN54" s="3">
        <f t="shared" ref="IN54" ca="1" si="508">IF(IG47&gt;=IL54,SUMIFS(IM14:IM44,IF46:IF76,IL54),0)</f>
        <v>0</v>
      </c>
      <c r="JD54" s="3">
        <f t="shared" ca="1" si="181"/>
        <v>0</v>
      </c>
      <c r="JE54" s="3">
        <f ca="1">IFERROR(IF(JD54=1,(IF((JK22+JL22)&gt;=1,LARGE(JE$46:JE53,1)+1,0)),0),0)</f>
        <v>0</v>
      </c>
      <c r="JH54" s="3" t="str">
        <f t="shared" ca="1" si="183"/>
        <v/>
      </c>
      <c r="JK54" s="3">
        <v>5</v>
      </c>
      <c r="JL54" s="3">
        <f t="shared" ref="JL54" ca="1" si="509">IF(JF47&gt;=JK54,SUMIFS(JK14:JK44,JE46:JE76,JK54),0)</f>
        <v>0</v>
      </c>
      <c r="JM54" s="3">
        <f t="shared" ref="JM54" ca="1" si="510">IF(JF47&gt;=JK54,SUMIFS(JL14:JL44,JE46:JE76,JK54),0)</f>
        <v>0</v>
      </c>
      <c r="KC54" s="3">
        <f t="shared" ca="1" si="181"/>
        <v>0</v>
      </c>
      <c r="KD54" s="3">
        <f ca="1">IFERROR(IF(KC54=1,(IF((KJ22+KK22)&gt;=1,LARGE(KD$46:KD53,1)+1,0)),0),0)</f>
        <v>0</v>
      </c>
      <c r="KG54" s="3" t="str">
        <f t="shared" ca="1" si="199"/>
        <v/>
      </c>
      <c r="KJ54" s="3">
        <v>5</v>
      </c>
      <c r="KK54" s="3">
        <f t="shared" ref="KK54" ca="1" si="511">IF(KE47&gt;=KJ54,SUMIFS(KJ14:KJ44,KD46:KD76,KJ54),0)</f>
        <v>0</v>
      </c>
      <c r="KL54" s="3">
        <f t="shared" ref="KL54" ca="1" si="512">IF(KE47&gt;=KJ54,SUMIFS(KK14:KK44,KD46:KD76,KJ54),0)</f>
        <v>0</v>
      </c>
    </row>
    <row r="55" spans="14:298" hidden="1" x14ac:dyDescent="0.25">
      <c r="N55" s="3">
        <f t="shared" ca="1" si="213"/>
        <v>0</v>
      </c>
      <c r="O55" s="3">
        <f ca="1">IFERROR(IF(N55=1,(IF((U23+V23)&gt;=1,LARGE(O$46:O54,1)+1,0)),0),0)</f>
        <v>0</v>
      </c>
      <c r="R55" s="3" t="str">
        <f t="shared" ca="1" si="402"/>
        <v>दाल-रोटी</v>
      </c>
      <c r="AM55" s="3">
        <f t="shared" ca="1" si="37"/>
        <v>1</v>
      </c>
      <c r="AN55" s="3">
        <f ca="1">IFERROR(IF(AM55=1,(IF((AT23+AU23)&gt;=1,LARGE(AN$46:AN54,1)+1,0)),0),0)</f>
        <v>0</v>
      </c>
      <c r="AQ55" s="3" t="str">
        <f t="shared" ca="1" si="39"/>
        <v>सब्जी-रोटी</v>
      </c>
      <c r="BL55" s="3">
        <f t="shared" ca="1" si="37"/>
        <v>0</v>
      </c>
      <c r="BM55" s="3">
        <f ca="1">IFERROR(IF(BL55=1,(IF((BS23+BT23)&gt;=1,LARGE(BM$46:BM54,1)+1,0)),0),0)</f>
        <v>0</v>
      </c>
      <c r="BP55" s="3" t="str">
        <f t="shared" ca="1" si="55"/>
        <v>दाल-रोटी</v>
      </c>
      <c r="CK55" s="3">
        <f t="shared" ca="1" si="37"/>
        <v>0</v>
      </c>
      <c r="CL55" s="3">
        <f ca="1">IFERROR(IF(CK55=1,(IF((CR23+CS23)&gt;=1,LARGE(CL$46:CL54,1)+1,0)),0),0)</f>
        <v>0</v>
      </c>
      <c r="CO55" s="3" t="str">
        <f t="shared" ca="1" si="71"/>
        <v>सब्जी-रोटी</v>
      </c>
      <c r="DJ55" s="3">
        <f t="shared" ca="1" si="85"/>
        <v>0</v>
      </c>
      <c r="DK55" s="3">
        <f ca="1">IFERROR(IF(DJ55=1,(IF((DQ23+DR23)&gt;=1,LARGE(DK$46:DK54,1)+1,0)),0),0)</f>
        <v>0</v>
      </c>
      <c r="DN55" s="3" t="str">
        <f t="shared" ca="1" si="87"/>
        <v>दाल-चावल</v>
      </c>
      <c r="EI55" s="3">
        <f t="shared" ca="1" si="85"/>
        <v>0</v>
      </c>
      <c r="EJ55" s="3">
        <f ca="1">IFERROR(IF(EI55=1,(IF((EP23+EQ23)&gt;=1,LARGE(EJ$46:EJ54,1)+1,0)),0),0)</f>
        <v>0</v>
      </c>
      <c r="EM55" s="3" t="str">
        <f t="shared" ca="1" si="103"/>
        <v>खिचड़ी-सब्जी</v>
      </c>
      <c r="FH55" s="3">
        <f t="shared" ca="1" si="117"/>
        <v>0</v>
      </c>
      <c r="FI55" s="3">
        <f ca="1">IFERROR(IF(FH55=1,(IF((FO23+FP23)&gt;=1,LARGE(FI$46:FI54,1)+1,0)),0),0)</f>
        <v>0</v>
      </c>
      <c r="FL55" s="3">
        <f t="shared" ca="1" si="119"/>
        <v>0</v>
      </c>
      <c r="GG55" s="3">
        <f t="shared" ca="1" si="117"/>
        <v>0</v>
      </c>
      <c r="GH55" s="3">
        <f ca="1">IFERROR(IF(GG55=1,(IF((GN23+GO23)&gt;=1,LARGE(GH$46:GH54,1)+1,0)),0),0)</f>
        <v>0</v>
      </c>
      <c r="GK55" s="3" t="str">
        <f t="shared" ca="1" si="135"/>
        <v>दाल-चावल</v>
      </c>
      <c r="HF55" s="3">
        <f t="shared" ca="1" si="149"/>
        <v>0</v>
      </c>
      <c r="HG55" s="3">
        <f ca="1">IFERROR(IF(HF55=1,(IF((HM23+HN23)&gt;=1,LARGE(HG$46:HG54,1)+1,0)),0),0)</f>
        <v>0</v>
      </c>
      <c r="HJ55" s="3" t="str">
        <f t="shared" ca="1" si="151"/>
        <v>दाल-रोटी</v>
      </c>
      <c r="IE55" s="3">
        <f t="shared" ca="1" si="149"/>
        <v>0</v>
      </c>
      <c r="IF55" s="3">
        <f ca="1">IFERROR(IF(IE55=1,(IF((IL23+IM23)&gt;=1,LARGE(IF$46:IF54,1)+1,0)),0),0)</f>
        <v>0</v>
      </c>
      <c r="II55" s="3" t="str">
        <f t="shared" ca="1" si="167"/>
        <v/>
      </c>
      <c r="JD55" s="3">
        <f t="shared" ca="1" si="181"/>
        <v>0</v>
      </c>
      <c r="JE55" s="3">
        <f ca="1">IFERROR(IF(JD55=1,(IF((JK23+JL23)&gt;=1,LARGE(JE$46:JE54,1)+1,0)),0),0)</f>
        <v>0</v>
      </c>
      <c r="JH55" s="3" t="str">
        <f t="shared" ca="1" si="183"/>
        <v/>
      </c>
      <c r="KC55" s="3">
        <f t="shared" ca="1" si="181"/>
        <v>0</v>
      </c>
      <c r="KD55" s="3">
        <f ca="1">IFERROR(IF(KC55=1,(IF((KJ23+KK23)&gt;=1,LARGE(KD$46:KD54,1)+1,0)),0),0)</f>
        <v>0</v>
      </c>
      <c r="KG55" s="3" t="str">
        <f t="shared" ca="1" si="199"/>
        <v/>
      </c>
    </row>
    <row r="56" spans="14:298" hidden="1" x14ac:dyDescent="0.25">
      <c r="N56" s="3">
        <f t="shared" ca="1" si="213"/>
        <v>0</v>
      </c>
      <c r="O56" s="3">
        <f ca="1">IFERROR(IF(N56=1,(IF((U24+V24)&gt;=1,LARGE(O$46:O55,1)+1,0)),0),0)</f>
        <v>0</v>
      </c>
      <c r="R56" s="3" t="str">
        <f t="shared" ca="1" si="402"/>
        <v>सब्जी-रोटी</v>
      </c>
      <c r="AM56" s="3">
        <f t="shared" ca="1" si="37"/>
        <v>0</v>
      </c>
      <c r="AN56" s="3">
        <f ca="1">IFERROR(IF(AM56=1,(IF((AT24+AU24)&gt;=1,LARGE(AN$46:AN55,1)+1,0)),0),0)</f>
        <v>0</v>
      </c>
      <c r="AQ56" s="3" t="str">
        <f t="shared" ca="1" si="39"/>
        <v>दाल-चावल</v>
      </c>
      <c r="BL56" s="3">
        <f t="shared" ca="1" si="37"/>
        <v>0</v>
      </c>
      <c r="BM56" s="3">
        <f ca="1">IFERROR(IF(BL56=1,(IF((BS24+BT24)&gt;=1,LARGE(BM$46:BM55,1)+1,0)),0),0)</f>
        <v>0</v>
      </c>
      <c r="BP56" s="3" t="str">
        <f t="shared" ca="1" si="55"/>
        <v>खिचड़ी-सब्जी</v>
      </c>
      <c r="CK56" s="3">
        <f t="shared" ca="1" si="37"/>
        <v>0</v>
      </c>
      <c r="CL56" s="3">
        <f ca="1">IFERROR(IF(CK56=1,(IF((CR24+CS24)&gt;=1,LARGE(CL$46:CL55,1)+1,0)),0),0)</f>
        <v>0</v>
      </c>
      <c r="CO56" s="3">
        <f t="shared" ca="1" si="71"/>
        <v>0</v>
      </c>
      <c r="DJ56" s="3">
        <f t="shared" ca="1" si="85"/>
        <v>0</v>
      </c>
      <c r="DK56" s="3">
        <f ca="1">IFERROR(IF(DJ56=1,(IF((DQ24+DR24)&gt;=1,LARGE(DK$46:DK55,1)+1,0)),0),0)</f>
        <v>0</v>
      </c>
      <c r="DN56" s="3" t="str">
        <f t="shared" ca="1" si="87"/>
        <v>दाल-रोटी</v>
      </c>
      <c r="EI56" s="3">
        <f t="shared" ca="1" si="85"/>
        <v>0</v>
      </c>
      <c r="EJ56" s="3">
        <f ca="1">IFERROR(IF(EI56=1,(IF((EP24+EQ24)&gt;=1,LARGE(EJ$46:EJ55,1)+1,0)),0),0)</f>
        <v>0</v>
      </c>
      <c r="EM56" s="3" t="str">
        <f t="shared" ca="1" si="103"/>
        <v>दाल-रोटी</v>
      </c>
      <c r="FH56" s="3">
        <f t="shared" ca="1" si="117"/>
        <v>1</v>
      </c>
      <c r="FI56" s="3">
        <f ca="1">IFERROR(IF(FH56=1,(IF((FO24+FP24)&gt;=1,LARGE(FI$46:FI55,1)+1,0)),0),0)</f>
        <v>0</v>
      </c>
      <c r="FL56" s="3" t="str">
        <f t="shared" ca="1" si="119"/>
        <v>सब्जी-रोटी</v>
      </c>
      <c r="GG56" s="3">
        <f t="shared" ca="1" si="117"/>
        <v>0</v>
      </c>
      <c r="GH56" s="3">
        <f ca="1">IFERROR(IF(GG56=1,(IF((GN24+GO24)&gt;=1,LARGE(GH$46:GH55,1)+1,0)),0),0)</f>
        <v>0</v>
      </c>
      <c r="GK56" s="3" t="str">
        <f t="shared" ca="1" si="135"/>
        <v>दाल-रोटी</v>
      </c>
      <c r="HF56" s="3">
        <f t="shared" ca="1" si="149"/>
        <v>0</v>
      </c>
      <c r="HG56" s="3">
        <f ca="1">IFERROR(IF(HF56=1,(IF((HM24+HN24)&gt;=1,LARGE(HG$46:HG55,1)+1,0)),0),0)</f>
        <v>0</v>
      </c>
      <c r="HJ56" s="3" t="str">
        <f t="shared" ca="1" si="151"/>
        <v>सब्जी-रोटी</v>
      </c>
      <c r="IE56" s="3">
        <f t="shared" ca="1" si="149"/>
        <v>0</v>
      </c>
      <c r="IF56" s="3">
        <f ca="1">IFERROR(IF(IE56=1,(IF((IL24+IM24)&gt;=1,LARGE(IF$46:IF55,1)+1,0)),0),0)</f>
        <v>0</v>
      </c>
      <c r="II56" s="3" t="str">
        <f t="shared" ca="1" si="167"/>
        <v/>
      </c>
      <c r="JD56" s="3">
        <f t="shared" ca="1" si="181"/>
        <v>0</v>
      </c>
      <c r="JE56" s="3">
        <f ca="1">IFERROR(IF(JD56=1,(IF((JK24+JL24)&gt;=1,LARGE(JE$46:JE55,1)+1,0)),0),0)</f>
        <v>0</v>
      </c>
      <c r="JH56" s="3" t="str">
        <f t="shared" ca="1" si="183"/>
        <v/>
      </c>
      <c r="KC56" s="3">
        <f t="shared" ca="1" si="181"/>
        <v>0</v>
      </c>
      <c r="KD56" s="3">
        <f ca="1">IFERROR(IF(KC56=1,(IF((KJ24+KK24)&gt;=1,LARGE(KD$46:KD55,1)+1,0)),0),0)</f>
        <v>0</v>
      </c>
      <c r="KG56" s="3" t="str">
        <f t="shared" ca="1" si="199"/>
        <v/>
      </c>
    </row>
    <row r="57" spans="14:298" hidden="1" x14ac:dyDescent="0.25">
      <c r="N57" s="3">
        <f t="shared" ca="1" si="213"/>
        <v>0</v>
      </c>
      <c r="O57" s="3">
        <f ca="1">IFERROR(IF(N57=1,(IF((U25+V25)&gt;=1,LARGE(O$46:O56,1)+1,0)),0),0)</f>
        <v>0</v>
      </c>
      <c r="R57" s="3">
        <f t="shared" ca="1" si="402"/>
        <v>0</v>
      </c>
      <c r="AM57" s="3">
        <f t="shared" ca="1" si="37"/>
        <v>0</v>
      </c>
      <c r="AN57" s="3">
        <f ca="1">IFERROR(IF(AM57=1,(IF((AT25+AU25)&gt;=1,LARGE(AN$46:AN56,1)+1,0)),0),0)</f>
        <v>0</v>
      </c>
      <c r="AQ57" s="3" t="str">
        <f t="shared" ca="1" si="39"/>
        <v>दाल-रोटी</v>
      </c>
      <c r="BL57" s="3">
        <f t="shared" ca="1" si="37"/>
        <v>0</v>
      </c>
      <c r="BM57" s="3">
        <f ca="1">IFERROR(IF(BL57=1,(IF((BS25+BT25)&gt;=1,LARGE(BM$46:BM56,1)+1,0)),0),0)</f>
        <v>0</v>
      </c>
      <c r="BP57" s="3" t="str">
        <f t="shared" ca="1" si="55"/>
        <v>दाल-रोटी</v>
      </c>
      <c r="CK57" s="3">
        <f t="shared" ca="1" si="37"/>
        <v>1</v>
      </c>
      <c r="CL57" s="3">
        <f ca="1">IFERROR(IF(CK57=1,(IF((CR25+CS25)&gt;=1,LARGE(CL$46:CL56,1)+1,0)),0),0)</f>
        <v>0</v>
      </c>
      <c r="CO57" s="3" t="str">
        <f t="shared" ca="1" si="71"/>
        <v>सब्जी-रोटी</v>
      </c>
      <c r="DJ57" s="3">
        <f t="shared" ca="1" si="85"/>
        <v>0</v>
      </c>
      <c r="DK57" s="3">
        <f ca="1">IFERROR(IF(DJ57=1,(IF((DQ25+DR25)&gt;=1,LARGE(DK$46:DK56,1)+1,0)),0),0)</f>
        <v>0</v>
      </c>
      <c r="DN57" s="3" t="str">
        <f t="shared" ca="1" si="87"/>
        <v>खिचड़ी-सब्जी</v>
      </c>
      <c r="EI57" s="3">
        <f t="shared" ca="1" si="85"/>
        <v>0</v>
      </c>
      <c r="EJ57" s="3">
        <f ca="1">IFERROR(IF(EI57=1,(IF((EP25+EQ25)&gt;=1,LARGE(EJ$46:EJ56,1)+1,0)),0),0)</f>
        <v>0</v>
      </c>
      <c r="EM57" s="3" t="str">
        <f t="shared" ca="1" si="103"/>
        <v>सब्जी-रोटी</v>
      </c>
      <c r="FH57" s="3">
        <f t="shared" ca="1" si="117"/>
        <v>0</v>
      </c>
      <c r="FI57" s="3">
        <f ca="1">IFERROR(IF(FH57=1,(IF((FO25+FP25)&gt;=1,LARGE(FI$46:FI56,1)+1,0)),0),0)</f>
        <v>0</v>
      </c>
      <c r="FL57" s="3" t="str">
        <f t="shared" ca="1" si="119"/>
        <v>दाल-चावल</v>
      </c>
      <c r="GG57" s="3">
        <f t="shared" ca="1" si="117"/>
        <v>0</v>
      </c>
      <c r="GH57" s="3">
        <f ca="1">IFERROR(IF(GG57=1,(IF((GN25+GO25)&gt;=1,LARGE(GH$46:GH56,1)+1,0)),0),0)</f>
        <v>0</v>
      </c>
      <c r="GK57" s="3" t="str">
        <f t="shared" ca="1" si="135"/>
        <v>खिचड़ी-सब्जी</v>
      </c>
      <c r="HF57" s="3">
        <f t="shared" ca="1" si="149"/>
        <v>0</v>
      </c>
      <c r="HG57" s="3">
        <f ca="1">IFERROR(IF(HF57=1,(IF((HM25+HN25)&gt;=1,LARGE(HG$46:HG56,1)+1,0)),0),0)</f>
        <v>0</v>
      </c>
      <c r="HJ57" s="3">
        <f t="shared" ca="1" si="151"/>
        <v>0</v>
      </c>
      <c r="IE57" s="3">
        <f t="shared" ca="1" si="149"/>
        <v>0</v>
      </c>
      <c r="IF57" s="3">
        <f ca="1">IFERROR(IF(IE57=1,(IF((IL25+IM25)&gt;=1,LARGE(IF$46:IF56,1)+1,0)),0),0)</f>
        <v>0</v>
      </c>
      <c r="II57" s="3" t="str">
        <f t="shared" ca="1" si="167"/>
        <v/>
      </c>
      <c r="JD57" s="3">
        <f t="shared" ca="1" si="181"/>
        <v>0</v>
      </c>
      <c r="JE57" s="3">
        <f ca="1">IFERROR(IF(JD57=1,(IF((JK25+JL25)&gt;=1,LARGE(JE$46:JE56,1)+1,0)),0),0)</f>
        <v>0</v>
      </c>
      <c r="JH57" s="3" t="str">
        <f t="shared" ca="1" si="183"/>
        <v/>
      </c>
      <c r="KC57" s="3">
        <f t="shared" ca="1" si="181"/>
        <v>0</v>
      </c>
      <c r="KD57" s="3">
        <f ca="1">IFERROR(IF(KC57=1,(IF((KJ25+KK25)&gt;=1,LARGE(KD$46:KD56,1)+1,0)),0),0)</f>
        <v>0</v>
      </c>
      <c r="KG57" s="3" t="str">
        <f t="shared" ca="1" si="199"/>
        <v/>
      </c>
    </row>
    <row r="58" spans="14:298" hidden="1" x14ac:dyDescent="0.25">
      <c r="N58" s="3">
        <f t="shared" ca="1" si="213"/>
        <v>1</v>
      </c>
      <c r="O58" s="3">
        <f ca="1">IFERROR(IF(N58=1,(IF((U26+V26)&gt;=1,LARGE(O$46:O57,1)+1,0)),0),0)</f>
        <v>0</v>
      </c>
      <c r="R58" s="3" t="str">
        <f t="shared" ca="1" si="402"/>
        <v>सब्जी-रोटी</v>
      </c>
      <c r="AM58" s="3">
        <f t="shared" ca="1" si="37"/>
        <v>0</v>
      </c>
      <c r="AN58" s="3">
        <f ca="1">IFERROR(IF(AM58=1,(IF((AT26+AU26)&gt;=1,LARGE(AN$46:AN57,1)+1,0)),0),0)</f>
        <v>0</v>
      </c>
      <c r="AQ58" s="3" t="str">
        <f t="shared" ca="1" si="39"/>
        <v>खिचड़ी-सब्जी</v>
      </c>
      <c r="BL58" s="3">
        <f t="shared" ca="1" si="37"/>
        <v>0</v>
      </c>
      <c r="BM58" s="3">
        <f ca="1">IFERROR(IF(BL58=1,(IF((BS26+BT26)&gt;=1,LARGE(BM$46:BM57,1)+1,0)),0),0)</f>
        <v>0</v>
      </c>
      <c r="BP58" s="3" t="str">
        <f t="shared" ca="1" si="55"/>
        <v>सब्जी-रोटी</v>
      </c>
      <c r="CK58" s="3">
        <f t="shared" ca="1" si="37"/>
        <v>0</v>
      </c>
      <c r="CL58" s="3">
        <f ca="1">IFERROR(IF(CK58=1,(IF((CR26+CS26)&gt;=1,LARGE(CL$46:CL57,1)+1,0)),0),0)</f>
        <v>0</v>
      </c>
      <c r="CO58" s="3" t="str">
        <f t="shared" ca="1" si="71"/>
        <v>दाल-चावल</v>
      </c>
      <c r="DJ58" s="3">
        <f t="shared" ca="1" si="85"/>
        <v>0</v>
      </c>
      <c r="DK58" s="3">
        <f ca="1">IFERROR(IF(DJ58=1,(IF((DQ26+DR26)&gt;=1,LARGE(DK$46:DK57,1)+1,0)),0),0)</f>
        <v>0</v>
      </c>
      <c r="DN58" s="3" t="str">
        <f t="shared" ca="1" si="87"/>
        <v>दाल-रोटी</v>
      </c>
      <c r="EI58" s="3">
        <f t="shared" ca="1" si="85"/>
        <v>0</v>
      </c>
      <c r="EJ58" s="3">
        <f ca="1">IFERROR(IF(EI58=1,(IF((EP26+EQ26)&gt;=1,LARGE(EJ$46:EJ57,1)+1,0)),0),0)</f>
        <v>0</v>
      </c>
      <c r="EM58" s="3">
        <f t="shared" ca="1" si="103"/>
        <v>0</v>
      </c>
      <c r="FH58" s="3">
        <f t="shared" ca="1" si="117"/>
        <v>0</v>
      </c>
      <c r="FI58" s="3">
        <f ca="1">IFERROR(IF(FH58=1,(IF((FO26+FP26)&gt;=1,LARGE(FI$46:FI57,1)+1,0)),0),0)</f>
        <v>0</v>
      </c>
      <c r="FL58" s="3" t="str">
        <f t="shared" ca="1" si="119"/>
        <v>दाल-रोटी</v>
      </c>
      <c r="GG58" s="3">
        <f t="shared" ca="1" si="117"/>
        <v>0</v>
      </c>
      <c r="GH58" s="3">
        <f ca="1">IFERROR(IF(GG58=1,(IF((GN26+GO26)&gt;=1,LARGE(GH$46:GH57,1)+1,0)),0),0)</f>
        <v>0</v>
      </c>
      <c r="GK58" s="3" t="str">
        <f t="shared" ca="1" si="135"/>
        <v>दाल-रोटी</v>
      </c>
      <c r="HF58" s="3">
        <f t="shared" ca="1" si="149"/>
        <v>1</v>
      </c>
      <c r="HG58" s="3">
        <f ca="1">IFERROR(IF(HF58=1,(IF((HM26+HN26)&gt;=1,LARGE(HG$46:HG57,1)+1,0)),0),0)</f>
        <v>0</v>
      </c>
      <c r="HJ58" s="3" t="str">
        <f t="shared" ca="1" si="151"/>
        <v>सब्जी-रोटी</v>
      </c>
      <c r="IE58" s="3">
        <f t="shared" ca="1" si="149"/>
        <v>0</v>
      </c>
      <c r="IF58" s="3">
        <f ca="1">IFERROR(IF(IE58=1,(IF((IL26+IM26)&gt;=1,LARGE(IF$46:IF57,1)+1,0)),0),0)</f>
        <v>0</v>
      </c>
      <c r="II58" s="3" t="str">
        <f t="shared" ca="1" si="167"/>
        <v/>
      </c>
      <c r="JD58" s="3">
        <f t="shared" ca="1" si="181"/>
        <v>0</v>
      </c>
      <c r="JE58" s="3">
        <f ca="1">IFERROR(IF(JD58=1,(IF((JK26+JL26)&gt;=1,LARGE(JE$46:JE57,1)+1,0)),0),0)</f>
        <v>0</v>
      </c>
      <c r="JH58" s="3" t="str">
        <f t="shared" ca="1" si="183"/>
        <v/>
      </c>
      <c r="KC58" s="3">
        <f t="shared" ca="1" si="181"/>
        <v>0</v>
      </c>
      <c r="KD58" s="3">
        <f ca="1">IFERROR(IF(KC58=1,(IF((KJ26+KK26)&gt;=1,LARGE(KD$46:KD57,1)+1,0)),0),0)</f>
        <v>0</v>
      </c>
      <c r="KG58" s="3" t="str">
        <f t="shared" ca="1" si="199"/>
        <v/>
      </c>
    </row>
    <row r="59" spans="14:298" hidden="1" x14ac:dyDescent="0.25">
      <c r="N59" s="3">
        <f t="shared" ca="1" si="213"/>
        <v>0</v>
      </c>
      <c r="O59" s="3">
        <f ca="1">IFERROR(IF(N59=1,(IF((U27+V27)&gt;=1,LARGE(O$46:O58,1)+1,0)),0),0)</f>
        <v>0</v>
      </c>
      <c r="R59" s="3" t="str">
        <f t="shared" ca="1" si="402"/>
        <v>दाल-चावल</v>
      </c>
      <c r="AM59" s="3">
        <f t="shared" ca="1" si="37"/>
        <v>0</v>
      </c>
      <c r="AN59" s="3">
        <f ca="1">IFERROR(IF(AM59=1,(IF((AT27+AU27)&gt;=1,LARGE(AN$46:AN58,1)+1,0)),0),0)</f>
        <v>0</v>
      </c>
      <c r="AQ59" s="3" t="str">
        <f t="shared" ca="1" si="39"/>
        <v>दाल-रोटी</v>
      </c>
      <c r="BL59" s="3">
        <f t="shared" ca="1" si="37"/>
        <v>0</v>
      </c>
      <c r="BM59" s="3">
        <f ca="1">IFERROR(IF(BL59=1,(IF((BS27+BT27)&gt;=1,LARGE(BM$46:BM58,1)+1,0)),0),0)</f>
        <v>0</v>
      </c>
      <c r="BP59" s="3">
        <f t="shared" ca="1" si="55"/>
        <v>0</v>
      </c>
      <c r="CK59" s="3">
        <f t="shared" ca="1" si="37"/>
        <v>0</v>
      </c>
      <c r="CL59" s="3">
        <f ca="1">IFERROR(IF(CK59=1,(IF((CR27+CS27)&gt;=1,LARGE(CL$46:CL58,1)+1,0)),0),0)</f>
        <v>0</v>
      </c>
      <c r="CO59" s="3" t="str">
        <f t="shared" ca="1" si="71"/>
        <v>दाल-रोटी</v>
      </c>
      <c r="DJ59" s="3">
        <f t="shared" ca="1" si="85"/>
        <v>0</v>
      </c>
      <c r="DK59" s="3">
        <f ca="1">IFERROR(IF(DJ59=1,(IF((DQ27+DR27)&gt;=1,LARGE(DK$46:DK58,1)+1,0)),0),0)</f>
        <v>0</v>
      </c>
      <c r="DN59" s="3" t="str">
        <f t="shared" ca="1" si="87"/>
        <v>सब्जी-रोटी</v>
      </c>
      <c r="EI59" s="3">
        <f t="shared" ca="1" si="85"/>
        <v>1</v>
      </c>
      <c r="EJ59" s="3">
        <f ca="1">IFERROR(IF(EI59=1,(IF((EP27+EQ27)&gt;=1,LARGE(EJ$46:EJ58,1)+1,0)),0),0)</f>
        <v>0</v>
      </c>
      <c r="EM59" s="3" t="str">
        <f t="shared" ca="1" si="103"/>
        <v>सब्जी-रोटी</v>
      </c>
      <c r="FH59" s="3">
        <f t="shared" ca="1" si="117"/>
        <v>0</v>
      </c>
      <c r="FI59" s="3">
        <f ca="1">IFERROR(IF(FH59=1,(IF((FO27+FP27)&gt;=1,LARGE(FI$46:FI58,1)+1,0)),0),0)</f>
        <v>0</v>
      </c>
      <c r="FL59" s="3" t="str">
        <f t="shared" ca="1" si="119"/>
        <v>खिचड़ी-सब्जी</v>
      </c>
      <c r="GG59" s="3">
        <f t="shared" ca="1" si="117"/>
        <v>0</v>
      </c>
      <c r="GH59" s="3">
        <f ca="1">IFERROR(IF(GG59=1,(IF((GN27+GO27)&gt;=1,LARGE(GH$46:GH58,1)+1,0)),0),0)</f>
        <v>0</v>
      </c>
      <c r="GK59" s="3" t="str">
        <f t="shared" ca="1" si="135"/>
        <v>सब्जी-रोटी</v>
      </c>
      <c r="HF59" s="3">
        <f t="shared" ca="1" si="149"/>
        <v>0</v>
      </c>
      <c r="HG59" s="3">
        <f ca="1">IFERROR(IF(HF59=1,(IF((HM27+HN27)&gt;=1,LARGE(HG$46:HG58,1)+1,0)),0),0)</f>
        <v>0</v>
      </c>
      <c r="HJ59" s="3" t="str">
        <f t="shared" ca="1" si="151"/>
        <v>दाल-चावल</v>
      </c>
      <c r="IE59" s="3">
        <f t="shared" ca="1" si="149"/>
        <v>0</v>
      </c>
      <c r="IF59" s="3">
        <f ca="1">IFERROR(IF(IE59=1,(IF((IL27+IM27)&gt;=1,LARGE(IF$46:IF58,1)+1,0)),0),0)</f>
        <v>0</v>
      </c>
      <c r="II59" s="3" t="str">
        <f t="shared" ca="1" si="167"/>
        <v/>
      </c>
      <c r="JD59" s="3">
        <f t="shared" ca="1" si="181"/>
        <v>0</v>
      </c>
      <c r="JE59" s="3">
        <f ca="1">IFERROR(IF(JD59=1,(IF((JK27+JL27)&gt;=1,LARGE(JE$46:JE58,1)+1,0)),0),0)</f>
        <v>0</v>
      </c>
      <c r="JH59" s="3" t="str">
        <f t="shared" ca="1" si="183"/>
        <v/>
      </c>
      <c r="KC59" s="3">
        <f t="shared" ca="1" si="181"/>
        <v>0</v>
      </c>
      <c r="KD59" s="3">
        <f ca="1">IFERROR(IF(KC59=1,(IF((KJ27+KK27)&gt;=1,LARGE(KD$46:KD58,1)+1,0)),0),0)</f>
        <v>0</v>
      </c>
      <c r="KG59" s="3" t="str">
        <f t="shared" ca="1" si="199"/>
        <v/>
      </c>
    </row>
    <row r="60" spans="14:298" hidden="1" x14ac:dyDescent="0.25">
      <c r="N60" s="3">
        <f t="shared" ca="1" si="213"/>
        <v>0</v>
      </c>
      <c r="O60" s="3">
        <f ca="1">IFERROR(IF(N60=1,(IF((U28+V28)&gt;=1,LARGE(O$46:O59,1)+1,0)),0),0)</f>
        <v>0</v>
      </c>
      <c r="R60" s="3" t="str">
        <f t="shared" ca="1" si="402"/>
        <v>दाल-रोटी</v>
      </c>
      <c r="AM60" s="3">
        <f t="shared" ca="1" si="37"/>
        <v>0</v>
      </c>
      <c r="AN60" s="3">
        <f ca="1">IFERROR(IF(AM60=1,(IF((AT28+AU28)&gt;=1,LARGE(AN$46:AN59,1)+1,0)),0),0)</f>
        <v>0</v>
      </c>
      <c r="AQ60" s="3" t="str">
        <f t="shared" ca="1" si="39"/>
        <v>सब्जी-रोटी</v>
      </c>
      <c r="BL60" s="3">
        <f t="shared" ca="1" si="37"/>
        <v>1</v>
      </c>
      <c r="BM60" s="3">
        <f ca="1">IFERROR(IF(BL60=1,(IF((BS28+BT28)&gt;=1,LARGE(BM$46:BM59,1)+1,0)),0),0)</f>
        <v>0</v>
      </c>
      <c r="BP60" s="3" t="str">
        <f t="shared" ca="1" si="55"/>
        <v>सब्जी-रोटी</v>
      </c>
      <c r="CK60" s="3">
        <f t="shared" ca="1" si="37"/>
        <v>0</v>
      </c>
      <c r="CL60" s="3">
        <f ca="1">IFERROR(IF(CK60=1,(IF((CR28+CS28)&gt;=1,LARGE(CL$46:CL59,1)+1,0)),0),0)</f>
        <v>0</v>
      </c>
      <c r="CO60" s="3" t="str">
        <f t="shared" ca="1" si="71"/>
        <v>खिचड़ी-सब्जी</v>
      </c>
      <c r="DJ60" s="3">
        <f t="shared" ca="1" si="85"/>
        <v>0</v>
      </c>
      <c r="DK60" s="3">
        <f ca="1">IFERROR(IF(DJ60=1,(IF((DQ28+DR28)&gt;=1,LARGE(DK$46:DK59,1)+1,0)),0),0)</f>
        <v>0</v>
      </c>
      <c r="DN60" s="3">
        <f t="shared" ca="1" si="87"/>
        <v>0</v>
      </c>
      <c r="EI60" s="3">
        <f t="shared" ca="1" si="85"/>
        <v>0</v>
      </c>
      <c r="EJ60" s="3">
        <f ca="1">IFERROR(IF(EI60=1,(IF((EP28+EQ28)&gt;=1,LARGE(EJ$46:EJ59,1)+1,0)),0),0)</f>
        <v>0</v>
      </c>
      <c r="EM60" s="3" t="str">
        <f t="shared" ca="1" si="103"/>
        <v>दाल-चावल</v>
      </c>
      <c r="FH60" s="3">
        <f t="shared" ca="1" si="117"/>
        <v>0</v>
      </c>
      <c r="FI60" s="3">
        <f ca="1">IFERROR(IF(FH60=1,(IF((FO28+FP28)&gt;=1,LARGE(FI$46:FI59,1)+1,0)),0),0)</f>
        <v>0</v>
      </c>
      <c r="FL60" s="3" t="str">
        <f t="shared" ca="1" si="119"/>
        <v>दाल-रोटी</v>
      </c>
      <c r="GG60" s="3">
        <f t="shared" ca="1" si="117"/>
        <v>0</v>
      </c>
      <c r="GH60" s="3">
        <f ca="1">IFERROR(IF(GG60=1,(IF((GN28+GO28)&gt;=1,LARGE(GH$46:GH59,1)+1,0)),0),0)</f>
        <v>0</v>
      </c>
      <c r="GK60" s="3">
        <f t="shared" ca="1" si="135"/>
        <v>0</v>
      </c>
      <c r="HF60" s="3">
        <f t="shared" ca="1" si="149"/>
        <v>0</v>
      </c>
      <c r="HG60" s="3">
        <f ca="1">IFERROR(IF(HF60=1,(IF((HM28+HN28)&gt;=1,LARGE(HG$46:HG59,1)+1,0)),0),0)</f>
        <v>0</v>
      </c>
      <c r="HJ60" s="3" t="str">
        <f t="shared" ca="1" si="151"/>
        <v>दाल-रोटी</v>
      </c>
      <c r="IE60" s="3">
        <f t="shared" ca="1" si="149"/>
        <v>0</v>
      </c>
      <c r="IF60" s="3">
        <f ca="1">IFERROR(IF(IE60=1,(IF((IL28+IM28)&gt;=1,LARGE(IF$46:IF59,1)+1,0)),0),0)</f>
        <v>0</v>
      </c>
      <c r="II60" s="3" t="str">
        <f t="shared" ca="1" si="167"/>
        <v/>
      </c>
      <c r="JD60" s="3">
        <f t="shared" ca="1" si="181"/>
        <v>0</v>
      </c>
      <c r="JE60" s="3">
        <f ca="1">IFERROR(IF(JD60=1,(IF((JK28+JL28)&gt;=1,LARGE(JE$46:JE59,1)+1,0)),0),0)</f>
        <v>0</v>
      </c>
      <c r="JH60" s="3" t="str">
        <f t="shared" ca="1" si="183"/>
        <v/>
      </c>
      <c r="KC60" s="3">
        <f t="shared" ca="1" si="181"/>
        <v>0</v>
      </c>
      <c r="KD60" s="3">
        <f ca="1">IFERROR(IF(KC60=1,(IF((KJ28+KK28)&gt;=1,LARGE(KD$46:KD59,1)+1,0)),0),0)</f>
        <v>0</v>
      </c>
      <c r="KG60" s="3" t="str">
        <f t="shared" ca="1" si="199"/>
        <v/>
      </c>
    </row>
    <row r="61" spans="14:298" hidden="1" x14ac:dyDescent="0.25">
      <c r="N61" s="3">
        <f t="shared" ca="1" si="213"/>
        <v>0</v>
      </c>
      <c r="O61" s="3">
        <f ca="1">IFERROR(IF(N61=1,(IF((U29+V29)&gt;=1,LARGE(O$46:O60,1)+1,0)),0),0)</f>
        <v>0</v>
      </c>
      <c r="R61" s="3" t="str">
        <f t="shared" ca="1" si="402"/>
        <v>खिचड़ी-सब्जी</v>
      </c>
      <c r="AM61" s="3">
        <f t="shared" ca="1" si="37"/>
        <v>0</v>
      </c>
      <c r="AN61" s="3">
        <f ca="1">IFERROR(IF(AM61=1,(IF((AT29+AU29)&gt;=1,LARGE(AN$46:AN60,1)+1,0)),0),0)</f>
        <v>0</v>
      </c>
      <c r="AQ61" s="3">
        <f t="shared" ca="1" si="39"/>
        <v>0</v>
      </c>
      <c r="BL61" s="3">
        <f t="shared" ca="1" si="37"/>
        <v>0</v>
      </c>
      <c r="BM61" s="3">
        <f ca="1">IFERROR(IF(BL61=1,(IF((BS29+BT29)&gt;=1,LARGE(BM$46:BM60,1)+1,0)),0),0)</f>
        <v>0</v>
      </c>
      <c r="BP61" s="3" t="str">
        <f t="shared" ca="1" si="55"/>
        <v>दाल-चावल</v>
      </c>
      <c r="CK61" s="3">
        <f t="shared" ca="1" si="37"/>
        <v>0</v>
      </c>
      <c r="CL61" s="3">
        <f ca="1">IFERROR(IF(CK61=1,(IF((CR29+CS29)&gt;=1,LARGE(CL$46:CL60,1)+1,0)),0),0)</f>
        <v>0</v>
      </c>
      <c r="CO61" s="3" t="str">
        <f t="shared" ca="1" si="71"/>
        <v>दाल-रोटी</v>
      </c>
      <c r="DJ61" s="3">
        <f t="shared" ca="1" si="85"/>
        <v>1</v>
      </c>
      <c r="DK61" s="3">
        <f ca="1">IFERROR(IF(DJ61=1,(IF((DQ29+DR29)&gt;=1,LARGE(DK$46:DK60,1)+1,0)),0),0)</f>
        <v>0</v>
      </c>
      <c r="DN61" s="3" t="str">
        <f t="shared" ca="1" si="87"/>
        <v>सब्जी-रोटी</v>
      </c>
      <c r="EI61" s="3">
        <f t="shared" ca="1" si="85"/>
        <v>0</v>
      </c>
      <c r="EJ61" s="3">
        <f ca="1">IFERROR(IF(EI61=1,(IF((EP29+EQ29)&gt;=1,LARGE(EJ$46:EJ60,1)+1,0)),0),0)</f>
        <v>0</v>
      </c>
      <c r="EM61" s="3" t="str">
        <f t="shared" ca="1" si="103"/>
        <v>दाल-रोटी</v>
      </c>
      <c r="FH61" s="3">
        <f t="shared" ca="1" si="117"/>
        <v>0</v>
      </c>
      <c r="FI61" s="3">
        <f ca="1">IFERROR(IF(FH61=1,(IF((FO29+FP29)&gt;=1,LARGE(FI$46:FI60,1)+1,0)),0),0)</f>
        <v>0</v>
      </c>
      <c r="FL61" s="3" t="str">
        <f t="shared" ca="1" si="119"/>
        <v>सब्जी-रोटी</v>
      </c>
      <c r="GG61" s="3">
        <f t="shared" ca="1" si="117"/>
        <v>1</v>
      </c>
      <c r="GH61" s="3">
        <f ca="1">IFERROR(IF(GG61=1,(IF((GN29+GO29)&gt;=1,LARGE(GH$46:GH60,1)+1,0)),0),0)</f>
        <v>0</v>
      </c>
      <c r="GK61" s="3" t="str">
        <f t="shared" ca="1" si="135"/>
        <v>सब्जी-रोटी</v>
      </c>
      <c r="HF61" s="3">
        <f t="shared" ca="1" si="149"/>
        <v>0</v>
      </c>
      <c r="HG61" s="3">
        <f ca="1">IFERROR(IF(HF61=1,(IF((HM29+HN29)&gt;=1,LARGE(HG$46:HG60,1)+1,0)),0),0)</f>
        <v>0</v>
      </c>
      <c r="HJ61" s="3" t="str">
        <f t="shared" ca="1" si="151"/>
        <v>खिचड़ी-सब्जी</v>
      </c>
      <c r="IE61" s="3">
        <f t="shared" ca="1" si="149"/>
        <v>0</v>
      </c>
      <c r="IF61" s="3">
        <f ca="1">IFERROR(IF(IE61=1,(IF((IL29+IM29)&gt;=1,LARGE(IF$46:IF60,1)+1,0)),0),0)</f>
        <v>0</v>
      </c>
      <c r="II61" s="3" t="str">
        <f t="shared" ca="1" si="167"/>
        <v/>
      </c>
      <c r="JD61" s="3">
        <f t="shared" ca="1" si="181"/>
        <v>0</v>
      </c>
      <c r="JE61" s="3">
        <f ca="1">IFERROR(IF(JD61=1,(IF((JK29+JL29)&gt;=1,LARGE(JE$46:JE60,1)+1,0)),0),0)</f>
        <v>0</v>
      </c>
      <c r="JH61" s="3" t="str">
        <f t="shared" ca="1" si="183"/>
        <v/>
      </c>
      <c r="KC61" s="3">
        <f t="shared" ca="1" si="181"/>
        <v>0</v>
      </c>
      <c r="KD61" s="3">
        <f ca="1">IFERROR(IF(KC61=1,(IF((KJ29+KK29)&gt;=1,LARGE(KD$46:KD60,1)+1,0)),0),0)</f>
        <v>0</v>
      </c>
      <c r="KG61" s="3" t="str">
        <f t="shared" ca="1" si="199"/>
        <v/>
      </c>
    </row>
    <row r="62" spans="14:298" hidden="1" x14ac:dyDescent="0.25">
      <c r="N62" s="3">
        <f t="shared" ca="1" si="213"/>
        <v>0</v>
      </c>
      <c r="O62" s="3">
        <f ca="1">IFERROR(IF(N62=1,(IF((U30+V30)&gt;=1,LARGE(O$46:O61,1)+1,0)),0),0)</f>
        <v>0</v>
      </c>
      <c r="R62" s="3" t="str">
        <f t="shared" ca="1" si="402"/>
        <v>दाल-रोटी</v>
      </c>
      <c r="AM62" s="3">
        <f t="shared" ref="AM62:CK76" ca="1" si="513">IFERROR(IF(AM30&gt;=$I$14,MATCH($P$46,AN30,0),0),0)</f>
        <v>1</v>
      </c>
      <c r="AN62" s="3">
        <f ca="1">IFERROR(IF(AM62=1,(IF((AT30+AU30)&gt;=1,LARGE(AN$46:AN61,1)+1,0)),0),0)</f>
        <v>0</v>
      </c>
      <c r="AQ62" s="3" t="str">
        <f t="shared" ca="1" si="39"/>
        <v>सब्जी-रोटी</v>
      </c>
      <c r="BL62" s="3">
        <f t="shared" ca="1" si="513"/>
        <v>0</v>
      </c>
      <c r="BM62" s="3">
        <f ca="1">IFERROR(IF(BL62=1,(IF((BS30+BT30)&gt;=1,LARGE(BM$46:BM61,1)+1,0)),0),0)</f>
        <v>0</v>
      </c>
      <c r="BP62" s="3" t="str">
        <f t="shared" ca="1" si="55"/>
        <v>दाल-रोटी</v>
      </c>
      <c r="CK62" s="3">
        <f t="shared" ca="1" si="513"/>
        <v>0</v>
      </c>
      <c r="CL62" s="3">
        <f ca="1">IFERROR(IF(CK62=1,(IF((CR30+CS30)&gt;=1,LARGE(CL$46:CL61,1)+1,0)),0),0)</f>
        <v>0</v>
      </c>
      <c r="CO62" s="3" t="str">
        <f t="shared" ca="1" si="71"/>
        <v>सब्जी-रोटी</v>
      </c>
      <c r="DJ62" s="3">
        <f t="shared" ref="DJ62:FH76" ca="1" si="514">IFERROR(IF(DJ30&gt;=$I$14,MATCH($P$46,DK30,0),0),0)</f>
        <v>0</v>
      </c>
      <c r="DK62" s="3">
        <f ca="1">IFERROR(IF(DJ62=1,(IF((DQ30+DR30)&gt;=1,LARGE(DK$46:DK61,1)+1,0)),0),0)</f>
        <v>0</v>
      </c>
      <c r="DN62" s="3" t="str">
        <f t="shared" ca="1" si="87"/>
        <v>दाल-चावल</v>
      </c>
      <c r="EI62" s="3">
        <f t="shared" ca="1" si="514"/>
        <v>0</v>
      </c>
      <c r="EJ62" s="3">
        <f ca="1">IFERROR(IF(EI62=1,(IF((EP30+EQ30)&gt;=1,LARGE(EJ$46:EJ61,1)+1,0)),0),0)</f>
        <v>0</v>
      </c>
      <c r="EM62" s="3" t="str">
        <f t="shared" ca="1" si="103"/>
        <v>खिचड़ी-सब्जी</v>
      </c>
      <c r="FH62" s="3">
        <f t="shared" ca="1" si="514"/>
        <v>0</v>
      </c>
      <c r="FI62" s="3">
        <f ca="1">IFERROR(IF(FH62=1,(IF((FO30+FP30)&gt;=1,LARGE(FI$46:FI61,1)+1,0)),0),0)</f>
        <v>0</v>
      </c>
      <c r="FL62" s="3">
        <f t="shared" ca="1" si="119"/>
        <v>0</v>
      </c>
      <c r="GG62" s="3">
        <f t="shared" ref="GG62:IE76" ca="1" si="515">IFERROR(IF(GG30&gt;=$I$14,MATCH($P$46,GH30,0),0),0)</f>
        <v>0</v>
      </c>
      <c r="GH62" s="3">
        <f ca="1">IFERROR(IF(GG62=1,(IF((GN30+GO30)&gt;=1,LARGE(GH$46:GH61,1)+1,0)),0),0)</f>
        <v>0</v>
      </c>
      <c r="GK62" s="3" t="str">
        <f t="shared" ca="1" si="135"/>
        <v>दाल-चावल</v>
      </c>
      <c r="HF62" s="3">
        <f t="shared" ca="1" si="515"/>
        <v>0</v>
      </c>
      <c r="HG62" s="3">
        <f ca="1">IFERROR(IF(HF62=1,(IF((HM30+HN30)&gt;=1,LARGE(HG$46:HG61,1)+1,0)),0),0)</f>
        <v>0</v>
      </c>
      <c r="HJ62" s="3" t="str">
        <f t="shared" ca="1" si="151"/>
        <v>दाल-रोटी</v>
      </c>
      <c r="IE62" s="3">
        <f t="shared" ca="1" si="515"/>
        <v>0</v>
      </c>
      <c r="IF62" s="3">
        <f ca="1">IFERROR(IF(IE62=1,(IF((IL30+IM30)&gt;=1,LARGE(IF$46:IF61,1)+1,0)),0),0)</f>
        <v>0</v>
      </c>
      <c r="II62" s="3" t="str">
        <f t="shared" ca="1" si="167"/>
        <v/>
      </c>
      <c r="JD62" s="3">
        <f t="shared" ref="JD62:KC76" ca="1" si="516">IFERROR(IF(JD30&gt;=$I$14,MATCH($P$46,JE30,0),0),0)</f>
        <v>0</v>
      </c>
      <c r="JE62" s="3">
        <f ca="1">IFERROR(IF(JD62=1,(IF((JK30+JL30)&gt;=1,LARGE(JE$46:JE61,1)+1,0)),0),0)</f>
        <v>0</v>
      </c>
      <c r="JH62" s="3" t="str">
        <f t="shared" ca="1" si="183"/>
        <v/>
      </c>
      <c r="KC62" s="3">
        <f t="shared" ca="1" si="516"/>
        <v>0</v>
      </c>
      <c r="KD62" s="3">
        <f ca="1">IFERROR(IF(KC62=1,(IF((KJ30+KK30)&gt;=1,LARGE(KD$46:KD61,1)+1,0)),0),0)</f>
        <v>0</v>
      </c>
      <c r="KG62" s="3" t="str">
        <f t="shared" ca="1" si="199"/>
        <v/>
      </c>
    </row>
    <row r="63" spans="14:298" hidden="1" x14ac:dyDescent="0.25">
      <c r="N63" s="3">
        <f t="shared" ca="1" si="213"/>
        <v>0</v>
      </c>
      <c r="O63" s="3">
        <f ca="1">IFERROR(IF(N63=1,(IF((U31+V31)&gt;=1,LARGE(O$46:O62,1)+1,0)),0),0)</f>
        <v>0</v>
      </c>
      <c r="R63" s="3" t="str">
        <f t="shared" ca="1" si="402"/>
        <v>सब्जी-रोटी</v>
      </c>
      <c r="AM63" s="3">
        <f t="shared" ca="1" si="513"/>
        <v>0</v>
      </c>
      <c r="AN63" s="3">
        <f ca="1">IFERROR(IF(AM63=1,(IF((AT31+AU31)&gt;=1,LARGE(AN$46:AN62,1)+1,0)),0),0)</f>
        <v>0</v>
      </c>
      <c r="AQ63" s="3" t="str">
        <f t="shared" ca="1" si="39"/>
        <v>दाल-चावल</v>
      </c>
      <c r="BL63" s="3">
        <f t="shared" ca="1" si="513"/>
        <v>0</v>
      </c>
      <c r="BM63" s="3">
        <f ca="1">IFERROR(IF(BL63=1,(IF((BS31+BT31)&gt;=1,LARGE(BM$46:BM62,1)+1,0)),0),0)</f>
        <v>0</v>
      </c>
      <c r="BP63" s="3" t="str">
        <f t="shared" ca="1" si="55"/>
        <v>खिचड़ी-सब्जी</v>
      </c>
      <c r="CK63" s="3">
        <f t="shared" ca="1" si="513"/>
        <v>0</v>
      </c>
      <c r="CL63" s="3">
        <f ca="1">IFERROR(IF(CK63=1,(IF((CR31+CS31)&gt;=1,LARGE(CL$46:CL62,1)+1,0)),0),0)</f>
        <v>0</v>
      </c>
      <c r="CO63" s="3">
        <f t="shared" ca="1" si="71"/>
        <v>0</v>
      </c>
      <c r="DJ63" s="3">
        <f t="shared" ca="1" si="514"/>
        <v>0</v>
      </c>
      <c r="DK63" s="3">
        <f ca="1">IFERROR(IF(DJ63=1,(IF((DQ31+DR31)&gt;=1,LARGE(DK$46:DK62,1)+1,0)),0),0)</f>
        <v>0</v>
      </c>
      <c r="DN63" s="3" t="str">
        <f t="shared" ca="1" si="87"/>
        <v>दाल-रोटी</v>
      </c>
      <c r="EI63" s="3">
        <f t="shared" ca="1" si="514"/>
        <v>0</v>
      </c>
      <c r="EJ63" s="3">
        <f ca="1">IFERROR(IF(EI63=1,(IF((EP31+EQ31)&gt;=1,LARGE(EJ$46:EJ62,1)+1,0)),0),0)</f>
        <v>0</v>
      </c>
      <c r="EM63" s="3" t="str">
        <f t="shared" ca="1" si="103"/>
        <v>दाल-रोटी</v>
      </c>
      <c r="FH63" s="3">
        <f t="shared" ca="1" si="514"/>
        <v>1</v>
      </c>
      <c r="FI63" s="3">
        <f ca="1">IFERROR(IF(FH63=1,(IF((FO31+FP31)&gt;=1,LARGE(FI$46:FI62,1)+1,0)),0),0)</f>
        <v>0</v>
      </c>
      <c r="FL63" s="3" t="str">
        <f t="shared" ca="1" si="119"/>
        <v>सब्जी-रोटी</v>
      </c>
      <c r="GG63" s="3">
        <f t="shared" ca="1" si="515"/>
        <v>0</v>
      </c>
      <c r="GH63" s="3">
        <f ca="1">IFERROR(IF(GG63=1,(IF((GN31+GO31)&gt;=1,LARGE(GH$46:GH62,1)+1,0)),0),0)</f>
        <v>0</v>
      </c>
      <c r="GK63" s="3" t="str">
        <f t="shared" ca="1" si="135"/>
        <v>दाल-रोटी</v>
      </c>
      <c r="HF63" s="3">
        <f t="shared" ca="1" si="515"/>
        <v>0</v>
      </c>
      <c r="HG63" s="3">
        <f ca="1">IFERROR(IF(HF63=1,(IF((HM31+HN31)&gt;=1,LARGE(HG$46:HG62,1)+1,0)),0),0)</f>
        <v>0</v>
      </c>
      <c r="HJ63" s="3" t="str">
        <f t="shared" ca="1" si="151"/>
        <v>सब्जी-रोटी</v>
      </c>
      <c r="IE63" s="3">
        <f t="shared" ca="1" si="515"/>
        <v>0</v>
      </c>
      <c r="IF63" s="3">
        <f ca="1">IFERROR(IF(IE63=1,(IF((IL31+IM31)&gt;=1,LARGE(IF$46:IF62,1)+1,0)),0),0)</f>
        <v>0</v>
      </c>
      <c r="II63" s="3" t="str">
        <f t="shared" ca="1" si="167"/>
        <v/>
      </c>
      <c r="JD63" s="3">
        <f t="shared" ca="1" si="516"/>
        <v>0</v>
      </c>
      <c r="JE63" s="3">
        <f ca="1">IFERROR(IF(JD63=1,(IF((JK31+JL31)&gt;=1,LARGE(JE$46:JE62,1)+1,0)),0),0)</f>
        <v>0</v>
      </c>
      <c r="JH63" s="3" t="str">
        <f t="shared" ca="1" si="183"/>
        <v/>
      </c>
      <c r="KC63" s="3">
        <f t="shared" ca="1" si="516"/>
        <v>0</v>
      </c>
      <c r="KD63" s="3">
        <f ca="1">IFERROR(IF(KC63=1,(IF((KJ31+KK31)&gt;=1,LARGE(KD$46:KD62,1)+1,0)),0),0)</f>
        <v>0</v>
      </c>
      <c r="KG63" s="3" t="str">
        <f t="shared" ca="1" si="199"/>
        <v/>
      </c>
    </row>
    <row r="64" spans="14:298" hidden="1" x14ac:dyDescent="0.25">
      <c r="N64" s="3">
        <f t="shared" ca="1" si="213"/>
        <v>0</v>
      </c>
      <c r="O64" s="3">
        <f ca="1">IFERROR(IF(N64=1,(IF((U32+V32)&gt;=1,LARGE(O$46:O63,1)+1,0)),0),0)</f>
        <v>0</v>
      </c>
      <c r="R64" s="3">
        <f t="shared" ca="1" si="402"/>
        <v>0</v>
      </c>
      <c r="AM64" s="3">
        <f t="shared" ca="1" si="513"/>
        <v>0</v>
      </c>
      <c r="AN64" s="3">
        <f ca="1">IFERROR(IF(AM64=1,(IF((AT32+AU32)&gt;=1,LARGE(AN$46:AN63,1)+1,0)),0),0)</f>
        <v>0</v>
      </c>
      <c r="AQ64" s="3" t="str">
        <f t="shared" ca="1" si="39"/>
        <v>दाल-रोटी</v>
      </c>
      <c r="BL64" s="3">
        <f t="shared" ca="1" si="513"/>
        <v>0</v>
      </c>
      <c r="BM64" s="3">
        <f ca="1">IFERROR(IF(BL64=1,(IF((BS32+BT32)&gt;=1,LARGE(BM$46:BM63,1)+1,0)),0),0)</f>
        <v>0</v>
      </c>
      <c r="BP64" s="3" t="str">
        <f t="shared" ca="1" si="55"/>
        <v>दाल-रोटी</v>
      </c>
      <c r="CK64" s="3">
        <f t="shared" ca="1" si="513"/>
        <v>1</v>
      </c>
      <c r="CL64" s="3">
        <f ca="1">IFERROR(IF(CK64=1,(IF((CR32+CS32)&gt;=1,LARGE(CL$46:CL63,1)+1,0)),0),0)</f>
        <v>0</v>
      </c>
      <c r="CO64" s="3" t="str">
        <f t="shared" ca="1" si="71"/>
        <v>सब्जी-रोटी</v>
      </c>
      <c r="DJ64" s="3">
        <f t="shared" ca="1" si="514"/>
        <v>0</v>
      </c>
      <c r="DK64" s="3">
        <f ca="1">IFERROR(IF(DJ64=1,(IF((DQ32+DR32)&gt;=1,LARGE(DK$46:DK63,1)+1,0)),0),0)</f>
        <v>0</v>
      </c>
      <c r="DN64" s="3" t="str">
        <f t="shared" ca="1" si="87"/>
        <v>खिचड़ी-सब्जी</v>
      </c>
      <c r="EI64" s="3">
        <f t="shared" ca="1" si="514"/>
        <v>0</v>
      </c>
      <c r="EJ64" s="3">
        <f ca="1">IFERROR(IF(EI64=1,(IF((EP32+EQ32)&gt;=1,LARGE(EJ$46:EJ63,1)+1,0)),0),0)</f>
        <v>0</v>
      </c>
      <c r="EM64" s="3" t="str">
        <f t="shared" ca="1" si="103"/>
        <v>सब्जी-रोटी</v>
      </c>
      <c r="FH64" s="3">
        <f t="shared" ca="1" si="514"/>
        <v>0</v>
      </c>
      <c r="FI64" s="3">
        <f ca="1">IFERROR(IF(FH64=1,(IF((FO32+FP32)&gt;=1,LARGE(FI$46:FI63,1)+1,0)),0),0)</f>
        <v>0</v>
      </c>
      <c r="FL64" s="3" t="str">
        <f t="shared" ca="1" si="119"/>
        <v>दाल-चावल</v>
      </c>
      <c r="GG64" s="3">
        <f t="shared" ca="1" si="515"/>
        <v>0</v>
      </c>
      <c r="GH64" s="3">
        <f ca="1">IFERROR(IF(GG64=1,(IF((GN32+GO32)&gt;=1,LARGE(GH$46:GH63,1)+1,0)),0),0)</f>
        <v>0</v>
      </c>
      <c r="GK64" s="3" t="str">
        <f t="shared" ca="1" si="135"/>
        <v>खिचड़ी-सब्जी</v>
      </c>
      <c r="HF64" s="3">
        <f t="shared" ca="1" si="515"/>
        <v>0</v>
      </c>
      <c r="HG64" s="3">
        <f ca="1">IFERROR(IF(HF64=1,(IF((HM32+HN32)&gt;=1,LARGE(HG$46:HG63,1)+1,0)),0),0)</f>
        <v>0</v>
      </c>
      <c r="HJ64" s="3">
        <f t="shared" ca="1" si="151"/>
        <v>0</v>
      </c>
      <c r="IE64" s="3">
        <f t="shared" ca="1" si="515"/>
        <v>0</v>
      </c>
      <c r="IF64" s="3">
        <f ca="1">IFERROR(IF(IE64=1,(IF((IL32+IM32)&gt;=1,LARGE(IF$46:IF63,1)+1,0)),0),0)</f>
        <v>0</v>
      </c>
      <c r="II64" s="3" t="str">
        <f t="shared" ca="1" si="167"/>
        <v/>
      </c>
      <c r="JD64" s="3">
        <f t="shared" ca="1" si="516"/>
        <v>0</v>
      </c>
      <c r="JE64" s="3">
        <f ca="1">IFERROR(IF(JD64=1,(IF((JK32+JL32)&gt;=1,LARGE(JE$46:JE63,1)+1,0)),0),0)</f>
        <v>0</v>
      </c>
      <c r="JH64" s="3" t="str">
        <f t="shared" ca="1" si="183"/>
        <v/>
      </c>
      <c r="KC64" s="3">
        <f t="shared" ca="1" si="516"/>
        <v>0</v>
      </c>
      <c r="KD64" s="3">
        <f ca="1">IFERROR(IF(KC64=1,(IF((KJ32+KK32)&gt;=1,LARGE(KD$46:KD63,1)+1,0)),0),0)</f>
        <v>0</v>
      </c>
      <c r="KG64" s="3" t="str">
        <f t="shared" ca="1" si="199"/>
        <v/>
      </c>
    </row>
    <row r="65" spans="14:293" hidden="1" x14ac:dyDescent="0.25">
      <c r="N65" s="3">
        <f t="shared" ca="1" si="213"/>
        <v>1</v>
      </c>
      <c r="O65" s="3">
        <f ca="1">IFERROR(IF(N65=1,(IF((U33+V33)&gt;=1,LARGE(O$46:O64,1)+1,0)),0),0)</f>
        <v>0</v>
      </c>
      <c r="R65" s="3" t="str">
        <f t="shared" ca="1" si="402"/>
        <v>सब्जी-रोटी</v>
      </c>
      <c r="AM65" s="3">
        <f t="shared" ca="1" si="513"/>
        <v>0</v>
      </c>
      <c r="AN65" s="3">
        <f ca="1">IFERROR(IF(AM65=1,(IF((AT33+AU33)&gt;=1,LARGE(AN$46:AN64,1)+1,0)),0),0)</f>
        <v>0</v>
      </c>
      <c r="AQ65" s="3" t="str">
        <f t="shared" ca="1" si="39"/>
        <v>खिचड़ी-सब्जी</v>
      </c>
      <c r="BL65" s="3">
        <f t="shared" ca="1" si="513"/>
        <v>0</v>
      </c>
      <c r="BM65" s="3">
        <f ca="1">IFERROR(IF(BL65=1,(IF((BS33+BT33)&gt;=1,LARGE(BM$46:BM64,1)+1,0)),0),0)</f>
        <v>0</v>
      </c>
      <c r="BP65" s="3" t="str">
        <f t="shared" ca="1" si="55"/>
        <v>सब्जी-रोटी</v>
      </c>
      <c r="CK65" s="3">
        <f t="shared" ca="1" si="513"/>
        <v>0</v>
      </c>
      <c r="CL65" s="3">
        <f ca="1">IFERROR(IF(CK65=1,(IF((CR33+CS33)&gt;=1,LARGE(CL$46:CL64,1)+1,0)),0),0)</f>
        <v>0</v>
      </c>
      <c r="CO65" s="3" t="str">
        <f t="shared" ca="1" si="71"/>
        <v>दाल-चावल</v>
      </c>
      <c r="DJ65" s="3">
        <f t="shared" ca="1" si="514"/>
        <v>0</v>
      </c>
      <c r="DK65" s="3">
        <f ca="1">IFERROR(IF(DJ65=1,(IF((DQ33+DR33)&gt;=1,LARGE(DK$46:DK64,1)+1,0)),0),0)</f>
        <v>0</v>
      </c>
      <c r="DN65" s="3" t="str">
        <f t="shared" ca="1" si="87"/>
        <v>दाल-रोटी</v>
      </c>
      <c r="EI65" s="3">
        <f t="shared" ca="1" si="514"/>
        <v>0</v>
      </c>
      <c r="EJ65" s="3">
        <f ca="1">IFERROR(IF(EI65=1,(IF((EP33+EQ33)&gt;=1,LARGE(EJ$46:EJ64,1)+1,0)),0),0)</f>
        <v>0</v>
      </c>
      <c r="EM65" s="3">
        <f t="shared" ca="1" si="103"/>
        <v>0</v>
      </c>
      <c r="FH65" s="3">
        <f t="shared" ca="1" si="514"/>
        <v>0</v>
      </c>
      <c r="FI65" s="3">
        <f ca="1">IFERROR(IF(FH65=1,(IF((FO33+FP33)&gt;=1,LARGE(FI$46:FI64,1)+1,0)),0),0)</f>
        <v>0</v>
      </c>
      <c r="FL65" s="3" t="str">
        <f t="shared" ca="1" si="119"/>
        <v>दाल-रोटी</v>
      </c>
      <c r="GG65" s="3">
        <f t="shared" ca="1" si="515"/>
        <v>0</v>
      </c>
      <c r="GH65" s="3">
        <f ca="1">IFERROR(IF(GG65=1,(IF((GN33+GO33)&gt;=1,LARGE(GH$46:GH64,1)+1,0)),0),0)</f>
        <v>0</v>
      </c>
      <c r="GK65" s="3" t="str">
        <f t="shared" ca="1" si="135"/>
        <v>दाल-रोटी</v>
      </c>
      <c r="HF65" s="3">
        <f t="shared" ca="1" si="515"/>
        <v>1</v>
      </c>
      <c r="HG65" s="3">
        <f ca="1">IFERROR(IF(HF65=1,(IF((HM33+HN33)&gt;=1,LARGE(HG$46:HG64,1)+1,0)),0),0)</f>
        <v>0</v>
      </c>
      <c r="HJ65" s="3" t="str">
        <f t="shared" ca="1" si="151"/>
        <v>सब्जी-रोटी</v>
      </c>
      <c r="IE65" s="3">
        <f t="shared" ca="1" si="515"/>
        <v>0</v>
      </c>
      <c r="IF65" s="3">
        <f ca="1">IFERROR(IF(IE65=1,(IF((IL33+IM33)&gt;=1,LARGE(IF$46:IF64,1)+1,0)),0),0)</f>
        <v>0</v>
      </c>
      <c r="II65" s="3" t="str">
        <f t="shared" ca="1" si="167"/>
        <v/>
      </c>
      <c r="JD65" s="3">
        <f t="shared" ca="1" si="516"/>
        <v>0</v>
      </c>
      <c r="JE65" s="3">
        <f ca="1">IFERROR(IF(JD65=1,(IF((JK33+JL33)&gt;=1,LARGE(JE$46:JE64,1)+1,0)),0),0)</f>
        <v>0</v>
      </c>
      <c r="JH65" s="3" t="str">
        <f t="shared" ca="1" si="183"/>
        <v/>
      </c>
      <c r="KC65" s="3">
        <f t="shared" ca="1" si="516"/>
        <v>0</v>
      </c>
      <c r="KD65" s="3">
        <f ca="1">IFERROR(IF(KC65=1,(IF((KJ33+KK33)&gt;=1,LARGE(KD$46:KD64,1)+1,0)),0),0)</f>
        <v>0</v>
      </c>
      <c r="KG65" s="3" t="str">
        <f t="shared" ca="1" si="199"/>
        <v/>
      </c>
    </row>
    <row r="66" spans="14:293" hidden="1" x14ac:dyDescent="0.25">
      <c r="N66" s="3">
        <f t="shared" ca="1" si="213"/>
        <v>0</v>
      </c>
      <c r="O66" s="3">
        <f ca="1">IFERROR(IF(N66=1,(IF((U34+V34)&gt;=1,LARGE(O$46:O65,1)+1,0)),0),0)</f>
        <v>0</v>
      </c>
      <c r="R66" s="3" t="str">
        <f t="shared" ca="1" si="402"/>
        <v>दाल-चावल</v>
      </c>
      <c r="AM66" s="3">
        <f t="shared" ca="1" si="513"/>
        <v>0</v>
      </c>
      <c r="AN66" s="3">
        <f ca="1">IFERROR(IF(AM66=1,(IF((AT34+AU34)&gt;=1,LARGE(AN$46:AN65,1)+1,0)),0),0)</f>
        <v>0</v>
      </c>
      <c r="AQ66" s="3" t="str">
        <f t="shared" ca="1" si="39"/>
        <v>दाल-रोटी</v>
      </c>
      <c r="BL66" s="3">
        <f t="shared" ca="1" si="513"/>
        <v>0</v>
      </c>
      <c r="BM66" s="3">
        <f ca="1">IFERROR(IF(BL66=1,(IF((BS34+BT34)&gt;=1,LARGE(BM$46:BM65,1)+1,0)),0),0)</f>
        <v>0</v>
      </c>
      <c r="BP66" s="3">
        <f t="shared" ca="1" si="55"/>
        <v>0</v>
      </c>
      <c r="CK66" s="3">
        <f t="shared" ca="1" si="513"/>
        <v>0</v>
      </c>
      <c r="CL66" s="3">
        <f ca="1">IFERROR(IF(CK66=1,(IF((CR34+CS34)&gt;=1,LARGE(CL$46:CL65,1)+1,0)),0),0)</f>
        <v>0</v>
      </c>
      <c r="CO66" s="3" t="str">
        <f t="shared" ca="1" si="71"/>
        <v>दाल-रोटी</v>
      </c>
      <c r="DJ66" s="3">
        <f t="shared" ca="1" si="514"/>
        <v>0</v>
      </c>
      <c r="DK66" s="3">
        <f ca="1">IFERROR(IF(DJ66=1,(IF((DQ34+DR34)&gt;=1,LARGE(DK$46:DK65,1)+1,0)),0),0)</f>
        <v>0</v>
      </c>
      <c r="DN66" s="3" t="str">
        <f t="shared" ca="1" si="87"/>
        <v>सब्जी-रोटी</v>
      </c>
      <c r="EI66" s="3">
        <f t="shared" ca="1" si="514"/>
        <v>1</v>
      </c>
      <c r="EJ66" s="3">
        <f ca="1">IFERROR(IF(EI66=1,(IF((EP34+EQ34)&gt;=1,LARGE(EJ$46:EJ65,1)+1,0)),0),0)</f>
        <v>0</v>
      </c>
      <c r="EM66" s="3" t="str">
        <f t="shared" ca="1" si="103"/>
        <v>सब्जी-रोटी</v>
      </c>
      <c r="FH66" s="3">
        <f t="shared" ca="1" si="514"/>
        <v>0</v>
      </c>
      <c r="FI66" s="3">
        <f ca="1">IFERROR(IF(FH66=1,(IF((FO34+FP34)&gt;=1,LARGE(FI$46:FI65,1)+1,0)),0),0)</f>
        <v>0</v>
      </c>
      <c r="FL66" s="3" t="str">
        <f t="shared" ca="1" si="119"/>
        <v>खिचड़ी-सब्जी</v>
      </c>
      <c r="GG66" s="3">
        <f t="shared" ca="1" si="515"/>
        <v>0</v>
      </c>
      <c r="GH66" s="3">
        <f ca="1">IFERROR(IF(GG66=1,(IF((GN34+GO34)&gt;=1,LARGE(GH$46:GH65,1)+1,0)),0),0)</f>
        <v>0</v>
      </c>
      <c r="GK66" s="3" t="str">
        <f t="shared" ca="1" si="135"/>
        <v>सब्जी-रोटी</v>
      </c>
      <c r="HF66" s="3">
        <f t="shared" ca="1" si="515"/>
        <v>0</v>
      </c>
      <c r="HG66" s="3">
        <f ca="1">IFERROR(IF(HF66=1,(IF((HM34+HN34)&gt;=1,LARGE(HG$46:HG65,1)+1,0)),0),0)</f>
        <v>0</v>
      </c>
      <c r="HJ66" s="3" t="str">
        <f t="shared" ca="1" si="151"/>
        <v>दाल-चावल</v>
      </c>
      <c r="IE66" s="3">
        <f t="shared" ca="1" si="515"/>
        <v>0</v>
      </c>
      <c r="IF66" s="3">
        <f ca="1">IFERROR(IF(IE66=1,(IF((IL34+IM34)&gt;=1,LARGE(IF$46:IF65,1)+1,0)),0),0)</f>
        <v>0</v>
      </c>
      <c r="II66" s="3" t="str">
        <f t="shared" ca="1" si="167"/>
        <v/>
      </c>
      <c r="JD66" s="3">
        <f t="shared" ca="1" si="516"/>
        <v>0</v>
      </c>
      <c r="JE66" s="3">
        <f ca="1">IFERROR(IF(JD66=1,(IF((JK34+JL34)&gt;=1,LARGE(JE$46:JE65,1)+1,0)),0),0)</f>
        <v>0</v>
      </c>
      <c r="JH66" s="3" t="str">
        <f t="shared" ca="1" si="183"/>
        <v/>
      </c>
      <c r="KC66" s="3">
        <f t="shared" ca="1" si="516"/>
        <v>0</v>
      </c>
      <c r="KD66" s="3">
        <f ca="1">IFERROR(IF(KC66=1,(IF((KJ34+KK34)&gt;=1,LARGE(KD$46:KD65,1)+1,0)),0),0)</f>
        <v>0</v>
      </c>
      <c r="KG66" s="3" t="str">
        <f t="shared" ca="1" si="199"/>
        <v/>
      </c>
    </row>
    <row r="67" spans="14:293" hidden="1" x14ac:dyDescent="0.25">
      <c r="N67" s="3">
        <f t="shared" ca="1" si="213"/>
        <v>0</v>
      </c>
      <c r="O67" s="3">
        <f ca="1">IFERROR(IF(N67=1,(IF((U35+V35)&gt;=1,LARGE(O$46:O66,1)+1,0)),0),0)</f>
        <v>0</v>
      </c>
      <c r="R67" s="3" t="str">
        <f t="shared" ca="1" si="402"/>
        <v>दाल-रोटी</v>
      </c>
      <c r="AM67" s="3">
        <f t="shared" ca="1" si="513"/>
        <v>0</v>
      </c>
      <c r="AN67" s="3">
        <f ca="1">IFERROR(IF(AM67=1,(IF((AT35+AU35)&gt;=1,LARGE(AN$46:AN66,1)+1,0)),0),0)</f>
        <v>0</v>
      </c>
      <c r="AQ67" s="3" t="str">
        <f t="shared" ca="1" si="39"/>
        <v>सब्जी-रोटी</v>
      </c>
      <c r="BL67" s="3">
        <f t="shared" ca="1" si="513"/>
        <v>1</v>
      </c>
      <c r="BM67" s="3">
        <f ca="1">IFERROR(IF(BL67=1,(IF((BS35+BT35)&gt;=1,LARGE(BM$46:BM66,1)+1,0)),0),0)</f>
        <v>0</v>
      </c>
      <c r="BP67" s="3" t="str">
        <f t="shared" ca="1" si="55"/>
        <v>सब्जी-रोटी</v>
      </c>
      <c r="CK67" s="3">
        <f t="shared" ca="1" si="513"/>
        <v>0</v>
      </c>
      <c r="CL67" s="3">
        <f ca="1">IFERROR(IF(CK67=1,(IF((CR35+CS35)&gt;=1,LARGE(CL$46:CL66,1)+1,0)),0),0)</f>
        <v>0</v>
      </c>
      <c r="CO67" s="3" t="str">
        <f t="shared" ca="1" si="71"/>
        <v>खिचड़ी-सब्जी</v>
      </c>
      <c r="DJ67" s="3">
        <f t="shared" ca="1" si="514"/>
        <v>0</v>
      </c>
      <c r="DK67" s="3">
        <f ca="1">IFERROR(IF(DJ67=1,(IF((DQ35+DR35)&gt;=1,LARGE(DK$46:DK66,1)+1,0)),0),0)</f>
        <v>0</v>
      </c>
      <c r="DN67" s="3">
        <f t="shared" ca="1" si="87"/>
        <v>0</v>
      </c>
      <c r="EI67" s="3">
        <f t="shared" ca="1" si="514"/>
        <v>0</v>
      </c>
      <c r="EJ67" s="3">
        <f ca="1">IFERROR(IF(EI67=1,(IF((EP35+EQ35)&gt;=1,LARGE(EJ$46:EJ66,1)+1,0)),0),0)</f>
        <v>0</v>
      </c>
      <c r="EM67" s="3" t="str">
        <f t="shared" ca="1" si="103"/>
        <v>दाल-चावल</v>
      </c>
      <c r="FH67" s="3">
        <f t="shared" ca="1" si="514"/>
        <v>0</v>
      </c>
      <c r="FI67" s="3">
        <f ca="1">IFERROR(IF(FH67=1,(IF((FO35+FP35)&gt;=1,LARGE(FI$46:FI66,1)+1,0)),0),0)</f>
        <v>0</v>
      </c>
      <c r="FL67" s="3" t="str">
        <f t="shared" ca="1" si="119"/>
        <v>दाल-रोटी</v>
      </c>
      <c r="GG67" s="3">
        <f t="shared" ca="1" si="515"/>
        <v>0</v>
      </c>
      <c r="GH67" s="3">
        <f ca="1">IFERROR(IF(GG67=1,(IF((GN35+GO35)&gt;=1,LARGE(GH$46:GH66,1)+1,0)),0),0)</f>
        <v>0</v>
      </c>
      <c r="GK67" s="3">
        <f t="shared" ca="1" si="135"/>
        <v>0</v>
      </c>
      <c r="HF67" s="3">
        <f t="shared" ca="1" si="515"/>
        <v>0</v>
      </c>
      <c r="HG67" s="3">
        <f ca="1">IFERROR(IF(HF67=1,(IF((HM35+HN35)&gt;=1,LARGE(HG$46:HG66,1)+1,0)),0),0)</f>
        <v>0</v>
      </c>
      <c r="HJ67" s="3" t="str">
        <f t="shared" ca="1" si="151"/>
        <v>दाल-रोटी</v>
      </c>
      <c r="IE67" s="3">
        <f t="shared" ca="1" si="515"/>
        <v>0</v>
      </c>
      <c r="IF67" s="3">
        <f ca="1">IFERROR(IF(IE67=1,(IF((IL35+IM35)&gt;=1,LARGE(IF$46:IF66,1)+1,0)),0),0)</f>
        <v>0</v>
      </c>
      <c r="II67" s="3" t="str">
        <f t="shared" ca="1" si="167"/>
        <v/>
      </c>
      <c r="JD67" s="3">
        <f t="shared" ca="1" si="516"/>
        <v>0</v>
      </c>
      <c r="JE67" s="3">
        <f ca="1">IFERROR(IF(JD67=1,(IF((JK35+JL35)&gt;=1,LARGE(JE$46:JE66,1)+1,0)),0),0)</f>
        <v>0</v>
      </c>
      <c r="JH67" s="3" t="str">
        <f t="shared" ca="1" si="183"/>
        <v/>
      </c>
      <c r="KC67" s="3">
        <f t="shared" ca="1" si="516"/>
        <v>0</v>
      </c>
      <c r="KD67" s="3">
        <f ca="1">IFERROR(IF(KC67=1,(IF((KJ35+KK35)&gt;=1,LARGE(KD$46:KD66,1)+1,0)),0),0)</f>
        <v>0</v>
      </c>
      <c r="KG67" s="3" t="str">
        <f t="shared" ca="1" si="199"/>
        <v/>
      </c>
    </row>
    <row r="68" spans="14:293" hidden="1" x14ac:dyDescent="0.25">
      <c r="N68" s="3">
        <f t="shared" ca="1" si="213"/>
        <v>0</v>
      </c>
      <c r="O68" s="3">
        <f ca="1">IFERROR(IF(N68=1,(IF((U36+V36)&gt;=1,LARGE(O$46:O67,1)+1,0)),0),0)</f>
        <v>0</v>
      </c>
      <c r="R68" s="3" t="str">
        <f t="shared" ca="1" si="402"/>
        <v>खिचड़ी-सब्जी</v>
      </c>
      <c r="AM68" s="3">
        <f t="shared" ca="1" si="513"/>
        <v>0</v>
      </c>
      <c r="AN68" s="3">
        <f ca="1">IFERROR(IF(AM68=1,(IF((AT36+AU36)&gt;=1,LARGE(AN$46:AN67,1)+1,0)),0),0)</f>
        <v>0</v>
      </c>
      <c r="AQ68" s="3">
        <f t="shared" ca="1" si="39"/>
        <v>0</v>
      </c>
      <c r="BL68" s="3">
        <f t="shared" ca="1" si="513"/>
        <v>0</v>
      </c>
      <c r="BM68" s="3">
        <f ca="1">IFERROR(IF(BL68=1,(IF((BS36+BT36)&gt;=1,LARGE(BM$46:BM67,1)+1,0)),0),0)</f>
        <v>0</v>
      </c>
      <c r="BP68" s="3" t="str">
        <f t="shared" ca="1" si="55"/>
        <v>दाल-चावल</v>
      </c>
      <c r="CK68" s="3">
        <f t="shared" ca="1" si="513"/>
        <v>0</v>
      </c>
      <c r="CL68" s="3">
        <f ca="1">IFERROR(IF(CK68=1,(IF((CR36+CS36)&gt;=1,LARGE(CL$46:CL67,1)+1,0)),0),0)</f>
        <v>0</v>
      </c>
      <c r="CO68" s="3" t="str">
        <f t="shared" ca="1" si="71"/>
        <v>दाल-रोटी</v>
      </c>
      <c r="DJ68" s="3">
        <f t="shared" ca="1" si="514"/>
        <v>1</v>
      </c>
      <c r="DK68" s="3">
        <f ca="1">IFERROR(IF(DJ68=1,(IF((DQ36+DR36)&gt;=1,LARGE(DK$46:DK67,1)+1,0)),0),0)</f>
        <v>0</v>
      </c>
      <c r="DN68" s="3" t="str">
        <f t="shared" ca="1" si="87"/>
        <v>सब्जी-रोटी</v>
      </c>
      <c r="EI68" s="3">
        <f t="shared" ca="1" si="514"/>
        <v>0</v>
      </c>
      <c r="EJ68" s="3">
        <f ca="1">IFERROR(IF(EI68=1,(IF((EP36+EQ36)&gt;=1,LARGE(EJ$46:EJ67,1)+1,0)),0),0)</f>
        <v>0</v>
      </c>
      <c r="EM68" s="3" t="str">
        <f t="shared" ca="1" si="103"/>
        <v>दाल-रोटी</v>
      </c>
      <c r="FH68" s="3">
        <f t="shared" ca="1" si="514"/>
        <v>0</v>
      </c>
      <c r="FI68" s="3">
        <f ca="1">IFERROR(IF(FH68=1,(IF((FO36+FP36)&gt;=1,LARGE(FI$46:FI67,1)+1,0)),0),0)</f>
        <v>0</v>
      </c>
      <c r="FL68" s="3" t="str">
        <f t="shared" ca="1" si="119"/>
        <v>सब्जी-रोटी</v>
      </c>
      <c r="GG68" s="3">
        <f t="shared" ca="1" si="515"/>
        <v>1</v>
      </c>
      <c r="GH68" s="3">
        <f ca="1">IFERROR(IF(GG68=1,(IF((GN36+GO36)&gt;=1,LARGE(GH$46:GH67,1)+1,0)),0),0)</f>
        <v>0</v>
      </c>
      <c r="GK68" s="3" t="str">
        <f t="shared" ca="1" si="135"/>
        <v>सब्जी-रोटी</v>
      </c>
      <c r="HF68" s="3">
        <f t="shared" ca="1" si="515"/>
        <v>0</v>
      </c>
      <c r="HG68" s="3">
        <f ca="1">IFERROR(IF(HF68=1,(IF((HM36+HN36)&gt;=1,LARGE(HG$46:HG67,1)+1,0)),0),0)</f>
        <v>0</v>
      </c>
      <c r="HJ68" s="3" t="str">
        <f t="shared" ca="1" si="151"/>
        <v>खिचड़ी-सब्जी</v>
      </c>
      <c r="IE68" s="3">
        <f t="shared" ca="1" si="515"/>
        <v>0</v>
      </c>
      <c r="IF68" s="3">
        <f ca="1">IFERROR(IF(IE68=1,(IF((IL36+IM36)&gt;=1,LARGE(IF$46:IF67,1)+1,0)),0),0)</f>
        <v>0</v>
      </c>
      <c r="II68" s="3" t="str">
        <f t="shared" ca="1" si="167"/>
        <v/>
      </c>
      <c r="JD68" s="3">
        <f t="shared" ca="1" si="516"/>
        <v>0</v>
      </c>
      <c r="JE68" s="3">
        <f ca="1">IFERROR(IF(JD68=1,(IF((JK36+JL36)&gt;=1,LARGE(JE$46:JE67,1)+1,0)),0),0)</f>
        <v>0</v>
      </c>
      <c r="JH68" s="3" t="str">
        <f t="shared" ca="1" si="183"/>
        <v/>
      </c>
      <c r="KC68" s="3">
        <f t="shared" ca="1" si="516"/>
        <v>0</v>
      </c>
      <c r="KD68" s="3">
        <f ca="1">IFERROR(IF(KC68=1,(IF((KJ36+KK36)&gt;=1,LARGE(KD$46:KD67,1)+1,0)),0),0)</f>
        <v>0</v>
      </c>
      <c r="KG68" s="3" t="str">
        <f t="shared" ca="1" si="199"/>
        <v/>
      </c>
    </row>
    <row r="69" spans="14:293" hidden="1" x14ac:dyDescent="0.25">
      <c r="N69" s="3">
        <f t="shared" ca="1" si="213"/>
        <v>0</v>
      </c>
      <c r="O69" s="3">
        <f ca="1">IFERROR(IF(N69=1,(IF((U37+V37)&gt;=1,LARGE(O$46:O68,1)+1,0)),0),0)</f>
        <v>0</v>
      </c>
      <c r="R69" s="3" t="str">
        <f t="shared" ca="1" si="402"/>
        <v>दाल-रोटी</v>
      </c>
      <c r="AM69" s="3">
        <f t="shared" ca="1" si="513"/>
        <v>1</v>
      </c>
      <c r="AN69" s="3">
        <f ca="1">IFERROR(IF(AM69=1,(IF((AT37+AU37)&gt;=1,LARGE(AN$46:AN68,1)+1,0)),0),0)</f>
        <v>0</v>
      </c>
      <c r="AQ69" s="3" t="str">
        <f t="shared" ca="1" si="39"/>
        <v>सब्जी-रोटी</v>
      </c>
      <c r="BL69" s="3">
        <f t="shared" ca="1" si="513"/>
        <v>0</v>
      </c>
      <c r="BM69" s="3">
        <f ca="1">IFERROR(IF(BL69=1,(IF((BS37+BT37)&gt;=1,LARGE(BM$46:BM68,1)+1,0)),0),0)</f>
        <v>0</v>
      </c>
      <c r="BP69" s="3" t="str">
        <f t="shared" ca="1" si="55"/>
        <v>दाल-रोटी</v>
      </c>
      <c r="CK69" s="3">
        <f t="shared" ca="1" si="513"/>
        <v>0</v>
      </c>
      <c r="CL69" s="3">
        <f ca="1">IFERROR(IF(CK69=1,(IF((CR37+CS37)&gt;=1,LARGE(CL$46:CL68,1)+1,0)),0),0)</f>
        <v>0</v>
      </c>
      <c r="CO69" s="3" t="str">
        <f t="shared" ca="1" si="71"/>
        <v>सब्जी-रोटी</v>
      </c>
      <c r="DJ69" s="3">
        <f t="shared" ca="1" si="514"/>
        <v>0</v>
      </c>
      <c r="DK69" s="3">
        <f ca="1">IFERROR(IF(DJ69=1,(IF((DQ37+DR37)&gt;=1,LARGE(DK$46:DK68,1)+1,0)),0),0)</f>
        <v>0</v>
      </c>
      <c r="DN69" s="3" t="str">
        <f t="shared" ca="1" si="87"/>
        <v>दाल-चावल</v>
      </c>
      <c r="EI69" s="3">
        <f t="shared" ca="1" si="514"/>
        <v>0</v>
      </c>
      <c r="EJ69" s="3">
        <f ca="1">IFERROR(IF(EI69=1,(IF((EP37+EQ37)&gt;=1,LARGE(EJ$46:EJ68,1)+1,0)),0),0)</f>
        <v>0</v>
      </c>
      <c r="EM69" s="3" t="str">
        <f t="shared" ca="1" si="103"/>
        <v>खिचड़ी-सब्जी</v>
      </c>
      <c r="FH69" s="3">
        <f t="shared" ca="1" si="514"/>
        <v>0</v>
      </c>
      <c r="FI69" s="3">
        <f ca="1">IFERROR(IF(FH69=1,(IF((FO37+FP37)&gt;=1,LARGE(FI$46:FI68,1)+1,0)),0),0)</f>
        <v>0</v>
      </c>
      <c r="FL69" s="3">
        <f t="shared" ca="1" si="119"/>
        <v>0</v>
      </c>
      <c r="GG69" s="3">
        <f t="shared" ca="1" si="515"/>
        <v>0</v>
      </c>
      <c r="GH69" s="3">
        <f ca="1">IFERROR(IF(GG69=1,(IF((GN37+GO37)&gt;=1,LARGE(GH$46:GH68,1)+1,0)),0),0)</f>
        <v>0</v>
      </c>
      <c r="GK69" s="3" t="str">
        <f t="shared" ca="1" si="135"/>
        <v>दाल-चावल</v>
      </c>
      <c r="HF69" s="3">
        <f t="shared" ca="1" si="515"/>
        <v>0</v>
      </c>
      <c r="HG69" s="3">
        <f ca="1">IFERROR(IF(HF69=1,(IF((HM37+HN37)&gt;=1,LARGE(HG$46:HG68,1)+1,0)),0),0)</f>
        <v>0</v>
      </c>
      <c r="HJ69" s="3" t="str">
        <f t="shared" ca="1" si="151"/>
        <v>दाल-रोटी</v>
      </c>
      <c r="IE69" s="3">
        <f t="shared" ca="1" si="515"/>
        <v>0</v>
      </c>
      <c r="IF69" s="3">
        <f ca="1">IFERROR(IF(IE69=1,(IF((IL37+IM37)&gt;=1,LARGE(IF$46:IF68,1)+1,0)),0),0)</f>
        <v>0</v>
      </c>
      <c r="II69" s="3" t="str">
        <f t="shared" ca="1" si="167"/>
        <v/>
      </c>
      <c r="JD69" s="3">
        <f t="shared" ca="1" si="516"/>
        <v>0</v>
      </c>
      <c r="JE69" s="3">
        <f ca="1">IFERROR(IF(JD69=1,(IF((JK37+JL37)&gt;=1,LARGE(JE$46:JE68,1)+1,0)),0),0)</f>
        <v>0</v>
      </c>
      <c r="JH69" s="3" t="str">
        <f t="shared" ca="1" si="183"/>
        <v/>
      </c>
      <c r="KC69" s="3">
        <f t="shared" ca="1" si="516"/>
        <v>0</v>
      </c>
      <c r="KD69" s="3">
        <f ca="1">IFERROR(IF(KC69=1,(IF((KJ37+KK37)&gt;=1,LARGE(KD$46:KD68,1)+1,0)),0),0)</f>
        <v>0</v>
      </c>
      <c r="KG69" s="3" t="str">
        <f t="shared" ca="1" si="199"/>
        <v/>
      </c>
    </row>
    <row r="70" spans="14:293" hidden="1" x14ac:dyDescent="0.25">
      <c r="N70" s="3">
        <f t="shared" ca="1" si="213"/>
        <v>0</v>
      </c>
      <c r="O70" s="3">
        <f ca="1">IFERROR(IF(N70=1,(IF((U38+V38)&gt;=1,LARGE(O$46:O69,1)+1,0)),0),0)</f>
        <v>0</v>
      </c>
      <c r="R70" s="3" t="str">
        <f t="shared" ca="1" si="402"/>
        <v>सब्जी-रोटी</v>
      </c>
      <c r="AM70" s="3">
        <f t="shared" ca="1" si="513"/>
        <v>0</v>
      </c>
      <c r="AN70" s="3">
        <f ca="1">IFERROR(IF(AM70=1,(IF((AT38+AU38)&gt;=1,LARGE(AN$46:AN69,1)+1,0)),0),0)</f>
        <v>0</v>
      </c>
      <c r="AQ70" s="3" t="str">
        <f t="shared" ca="1" si="39"/>
        <v>दाल-चावल</v>
      </c>
      <c r="BL70" s="3">
        <f t="shared" ca="1" si="513"/>
        <v>0</v>
      </c>
      <c r="BM70" s="3">
        <f ca="1">IFERROR(IF(BL70=1,(IF((BS38+BT38)&gt;=1,LARGE(BM$46:BM69,1)+1,0)),0),0)</f>
        <v>0</v>
      </c>
      <c r="BP70" s="3" t="str">
        <f t="shared" ca="1" si="55"/>
        <v>खिचड़ी-सब्जी</v>
      </c>
      <c r="CK70" s="3">
        <f t="shared" ca="1" si="513"/>
        <v>0</v>
      </c>
      <c r="CL70" s="3">
        <f ca="1">IFERROR(IF(CK70=1,(IF((CR38+CS38)&gt;=1,LARGE(CL$46:CL69,1)+1,0)),0),0)</f>
        <v>0</v>
      </c>
      <c r="CO70" s="3">
        <f t="shared" ca="1" si="71"/>
        <v>0</v>
      </c>
      <c r="DJ70" s="3">
        <f t="shared" ca="1" si="514"/>
        <v>0</v>
      </c>
      <c r="DK70" s="3">
        <f ca="1">IFERROR(IF(DJ70=1,(IF((DQ38+DR38)&gt;=1,LARGE(DK$46:DK69,1)+1,0)),0),0)</f>
        <v>0</v>
      </c>
      <c r="DN70" s="3" t="str">
        <f t="shared" ca="1" si="87"/>
        <v>दाल-रोटी</v>
      </c>
      <c r="EI70" s="3">
        <f t="shared" ca="1" si="514"/>
        <v>0</v>
      </c>
      <c r="EJ70" s="3">
        <f ca="1">IFERROR(IF(EI70=1,(IF((EP38+EQ38)&gt;=1,LARGE(EJ$46:EJ69,1)+1,0)),0),0)</f>
        <v>0</v>
      </c>
      <c r="EM70" s="3" t="str">
        <f t="shared" ca="1" si="103"/>
        <v>दाल-रोटी</v>
      </c>
      <c r="FH70" s="3">
        <f t="shared" ca="1" si="514"/>
        <v>1</v>
      </c>
      <c r="FI70" s="3">
        <f ca="1">IFERROR(IF(FH70=1,(IF((FO38+FP38)&gt;=1,LARGE(FI$46:FI69,1)+1,0)),0),0)</f>
        <v>0</v>
      </c>
      <c r="FL70" s="3" t="str">
        <f t="shared" ca="1" si="119"/>
        <v>सब्जी-रोटी</v>
      </c>
      <c r="GG70" s="3">
        <f t="shared" ca="1" si="515"/>
        <v>0</v>
      </c>
      <c r="GH70" s="3">
        <f ca="1">IFERROR(IF(GG70=1,(IF((GN38+GO38)&gt;=1,LARGE(GH$46:GH69,1)+1,0)),0),0)</f>
        <v>0</v>
      </c>
      <c r="GK70" s="3" t="str">
        <f t="shared" ca="1" si="135"/>
        <v>दाल-रोटी</v>
      </c>
      <c r="HF70" s="3">
        <f t="shared" ca="1" si="515"/>
        <v>0</v>
      </c>
      <c r="HG70" s="3">
        <f ca="1">IFERROR(IF(HF70=1,(IF((HM38+HN38)&gt;=1,LARGE(HG$46:HG69,1)+1,0)),0),0)</f>
        <v>0</v>
      </c>
      <c r="HJ70" s="3" t="str">
        <f t="shared" ca="1" si="151"/>
        <v>सब्जी-रोटी</v>
      </c>
      <c r="IE70" s="3">
        <f t="shared" ca="1" si="515"/>
        <v>0</v>
      </c>
      <c r="IF70" s="3">
        <f ca="1">IFERROR(IF(IE70=1,(IF((IL38+IM38)&gt;=1,LARGE(IF$46:IF69,1)+1,0)),0),0)</f>
        <v>0</v>
      </c>
      <c r="II70" s="3" t="str">
        <f t="shared" ca="1" si="167"/>
        <v/>
      </c>
      <c r="JD70" s="3">
        <f t="shared" ca="1" si="516"/>
        <v>0</v>
      </c>
      <c r="JE70" s="3">
        <f ca="1">IFERROR(IF(JD70=1,(IF((JK38+JL38)&gt;=1,LARGE(JE$46:JE69,1)+1,0)),0),0)</f>
        <v>0</v>
      </c>
      <c r="JH70" s="3" t="str">
        <f t="shared" ca="1" si="183"/>
        <v/>
      </c>
      <c r="KC70" s="3">
        <f t="shared" ca="1" si="516"/>
        <v>0</v>
      </c>
      <c r="KD70" s="3">
        <f ca="1">IFERROR(IF(KC70=1,(IF((KJ38+KK38)&gt;=1,LARGE(KD$46:KD69,1)+1,0)),0),0)</f>
        <v>0</v>
      </c>
      <c r="KG70" s="3" t="str">
        <f t="shared" ca="1" si="199"/>
        <v/>
      </c>
    </row>
    <row r="71" spans="14:293" hidden="1" x14ac:dyDescent="0.25">
      <c r="N71" s="3">
        <f t="shared" ca="1" si="213"/>
        <v>0</v>
      </c>
      <c r="O71" s="3">
        <f ca="1">IFERROR(IF(N71=1,(IF((U39+V39)&gt;=1,LARGE(O$46:O70,1)+1,0)),0),0)</f>
        <v>0</v>
      </c>
      <c r="R71" s="3">
        <f t="shared" ca="1" si="402"/>
        <v>0</v>
      </c>
      <c r="AM71" s="3">
        <f t="shared" ca="1" si="513"/>
        <v>0</v>
      </c>
      <c r="AN71" s="3">
        <f ca="1">IFERROR(IF(AM71=1,(IF((AT39+AU39)&gt;=1,LARGE(AN$46:AN70,1)+1,0)),0),0)</f>
        <v>0</v>
      </c>
      <c r="AQ71" s="3" t="str">
        <f t="shared" ca="1" si="39"/>
        <v>दाल-रोटी</v>
      </c>
      <c r="BL71" s="3">
        <f t="shared" ca="1" si="513"/>
        <v>0</v>
      </c>
      <c r="BM71" s="3">
        <f ca="1">IFERROR(IF(BL71=1,(IF((BS39+BT39)&gt;=1,LARGE(BM$46:BM70,1)+1,0)),0),0)</f>
        <v>0</v>
      </c>
      <c r="BP71" s="3" t="str">
        <f t="shared" ca="1" si="55"/>
        <v>दाल-रोटी</v>
      </c>
      <c r="CK71" s="3">
        <f t="shared" ca="1" si="513"/>
        <v>1</v>
      </c>
      <c r="CL71" s="3">
        <f ca="1">IFERROR(IF(CK71=1,(IF((CR39+CS39)&gt;=1,LARGE(CL$46:CL70,1)+1,0)),0),0)</f>
        <v>0</v>
      </c>
      <c r="CO71" s="3" t="str">
        <f t="shared" ca="1" si="71"/>
        <v>सब्जी-रोटी</v>
      </c>
      <c r="DJ71" s="3">
        <f t="shared" ca="1" si="514"/>
        <v>0</v>
      </c>
      <c r="DK71" s="3">
        <f ca="1">IFERROR(IF(DJ71=1,(IF((DQ39+DR39)&gt;=1,LARGE(DK$46:DK70,1)+1,0)),0),0)</f>
        <v>0</v>
      </c>
      <c r="DN71" s="3" t="str">
        <f t="shared" ca="1" si="87"/>
        <v>खिचड़ी-सब्जी</v>
      </c>
      <c r="EI71" s="3">
        <f t="shared" ca="1" si="514"/>
        <v>0</v>
      </c>
      <c r="EJ71" s="3">
        <f ca="1">IFERROR(IF(EI71=1,(IF((EP39+EQ39)&gt;=1,LARGE(EJ$46:EJ70,1)+1,0)),0),0)</f>
        <v>0</v>
      </c>
      <c r="EM71" s="3" t="str">
        <f t="shared" ca="1" si="103"/>
        <v>सब्जी-रोटी</v>
      </c>
      <c r="FH71" s="3">
        <f t="shared" ca="1" si="514"/>
        <v>0</v>
      </c>
      <c r="FI71" s="3">
        <f ca="1">IFERROR(IF(FH71=1,(IF((FO39+FP39)&gt;=1,LARGE(FI$46:FI70,1)+1,0)),0),0)</f>
        <v>0</v>
      </c>
      <c r="FL71" s="3" t="str">
        <f t="shared" ca="1" si="119"/>
        <v>दाल-चावल</v>
      </c>
      <c r="GG71" s="3">
        <f t="shared" ca="1" si="515"/>
        <v>0</v>
      </c>
      <c r="GH71" s="3">
        <f ca="1">IFERROR(IF(GG71=1,(IF((GN39+GO39)&gt;=1,LARGE(GH$46:GH70,1)+1,0)),0),0)</f>
        <v>0</v>
      </c>
      <c r="GK71" s="3" t="str">
        <f t="shared" ca="1" si="135"/>
        <v>खिचड़ी-सब्जी</v>
      </c>
      <c r="HF71" s="3">
        <f t="shared" ca="1" si="515"/>
        <v>0</v>
      </c>
      <c r="HG71" s="3">
        <f ca="1">IFERROR(IF(HF71=1,(IF((HM39+HN39)&gt;=1,LARGE(HG$46:HG70,1)+1,0)),0),0)</f>
        <v>0</v>
      </c>
      <c r="HJ71" s="3">
        <f t="shared" ca="1" si="151"/>
        <v>0</v>
      </c>
      <c r="IE71" s="3">
        <f t="shared" ca="1" si="515"/>
        <v>0</v>
      </c>
      <c r="IF71" s="3">
        <f ca="1">IFERROR(IF(IE71=1,(IF((IL39+IM39)&gt;=1,LARGE(IF$46:IF70,1)+1,0)),0),0)</f>
        <v>0</v>
      </c>
      <c r="II71" s="3" t="str">
        <f t="shared" ca="1" si="167"/>
        <v/>
      </c>
      <c r="JD71" s="3">
        <f t="shared" ca="1" si="516"/>
        <v>0</v>
      </c>
      <c r="JE71" s="3">
        <f ca="1">IFERROR(IF(JD71=1,(IF((JK39+JL39)&gt;=1,LARGE(JE$46:JE70,1)+1,0)),0),0)</f>
        <v>0</v>
      </c>
      <c r="JH71" s="3" t="str">
        <f t="shared" ca="1" si="183"/>
        <v/>
      </c>
      <c r="KC71" s="3">
        <f t="shared" ca="1" si="516"/>
        <v>0</v>
      </c>
      <c r="KD71" s="3">
        <f ca="1">IFERROR(IF(KC71=1,(IF((KJ39+KK39)&gt;=1,LARGE(KD$46:KD70,1)+1,0)),0),0)</f>
        <v>0</v>
      </c>
      <c r="KG71" s="3" t="str">
        <f t="shared" ca="1" si="199"/>
        <v/>
      </c>
    </row>
    <row r="72" spans="14:293" hidden="1" x14ac:dyDescent="0.25">
      <c r="N72" s="3">
        <f t="shared" ca="1" si="213"/>
        <v>1</v>
      </c>
      <c r="O72" s="3">
        <f ca="1">IFERROR(IF(N72=1,(IF((U40+V40)&gt;=1,LARGE(O$46:O71,1)+1,0)),0),0)</f>
        <v>0</v>
      </c>
      <c r="R72" s="3" t="str">
        <f t="shared" ca="1" si="402"/>
        <v>सब्जी-रोटी</v>
      </c>
      <c r="AM72" s="3">
        <f t="shared" ca="1" si="513"/>
        <v>0</v>
      </c>
      <c r="AN72" s="3">
        <f ca="1">IFERROR(IF(AM72=1,(IF((AT40+AU40)&gt;=1,LARGE(AN$46:AN71,1)+1,0)),0),0)</f>
        <v>0</v>
      </c>
      <c r="AQ72" s="3" t="str">
        <f t="shared" ca="1" si="39"/>
        <v>खिचड़ी-सब्जी</v>
      </c>
      <c r="BL72" s="3">
        <f t="shared" ca="1" si="513"/>
        <v>0</v>
      </c>
      <c r="BM72" s="3">
        <f ca="1">IFERROR(IF(BL72=1,(IF((BS40+BT40)&gt;=1,LARGE(BM$46:BM71,1)+1,0)),0),0)</f>
        <v>0</v>
      </c>
      <c r="BP72" s="3" t="str">
        <f t="shared" ca="1" si="55"/>
        <v>सब्जी-रोटी</v>
      </c>
      <c r="CK72" s="3">
        <f t="shared" ca="1" si="513"/>
        <v>0</v>
      </c>
      <c r="CL72" s="3">
        <f ca="1">IFERROR(IF(CK72=1,(IF((CR40+CS40)&gt;=1,LARGE(CL$46:CL71,1)+1,0)),0),0)</f>
        <v>0</v>
      </c>
      <c r="CO72" s="3" t="str">
        <f t="shared" ca="1" si="71"/>
        <v>दाल-चावल</v>
      </c>
      <c r="DJ72" s="3">
        <f t="shared" ca="1" si="514"/>
        <v>0</v>
      </c>
      <c r="DK72" s="3">
        <f ca="1">IFERROR(IF(DJ72=1,(IF((DQ40+DR40)&gt;=1,LARGE(DK$46:DK71,1)+1,0)),0),0)</f>
        <v>0</v>
      </c>
      <c r="DN72" s="3" t="str">
        <f t="shared" ca="1" si="87"/>
        <v>दाल-रोटी</v>
      </c>
      <c r="EI72" s="3">
        <f t="shared" ca="1" si="514"/>
        <v>0</v>
      </c>
      <c r="EJ72" s="3">
        <f ca="1">IFERROR(IF(EI72=1,(IF((EP40+EQ40)&gt;=1,LARGE(EJ$46:EJ71,1)+1,0)),0),0)</f>
        <v>0</v>
      </c>
      <c r="EM72" s="3">
        <f t="shared" ca="1" si="103"/>
        <v>0</v>
      </c>
      <c r="FH72" s="3">
        <f t="shared" ca="1" si="514"/>
        <v>0</v>
      </c>
      <c r="FI72" s="3">
        <f ca="1">IFERROR(IF(FH72=1,(IF((FO40+FP40)&gt;=1,LARGE(FI$46:FI71,1)+1,0)),0),0)</f>
        <v>0</v>
      </c>
      <c r="FL72" s="3" t="str">
        <f t="shared" ca="1" si="119"/>
        <v>दाल-रोटी</v>
      </c>
      <c r="GG72" s="3">
        <f t="shared" ca="1" si="515"/>
        <v>0</v>
      </c>
      <c r="GH72" s="3">
        <f ca="1">IFERROR(IF(GG72=1,(IF((GN40+GO40)&gt;=1,LARGE(GH$46:GH71,1)+1,0)),0),0)</f>
        <v>0</v>
      </c>
      <c r="GK72" s="3" t="str">
        <f t="shared" ca="1" si="135"/>
        <v>दाल-रोटी</v>
      </c>
      <c r="HF72" s="3">
        <f t="shared" ca="1" si="515"/>
        <v>0</v>
      </c>
      <c r="HG72" s="3">
        <f ca="1">IFERROR(IF(HF72=1,(IF((HM40+HN40)&gt;=1,LARGE(HG$46:HG71,1)+1,0)),0),0)</f>
        <v>0</v>
      </c>
      <c r="HJ72" s="3" t="str">
        <f t="shared" ca="1" si="151"/>
        <v/>
      </c>
      <c r="IE72" s="3">
        <f t="shared" ca="1" si="515"/>
        <v>0</v>
      </c>
      <c r="IF72" s="3">
        <f ca="1">IFERROR(IF(IE72=1,(IF((IL40+IM40)&gt;=1,LARGE(IF$46:IF71,1)+1,0)),0),0)</f>
        <v>0</v>
      </c>
      <c r="II72" s="3" t="str">
        <f t="shared" ca="1" si="167"/>
        <v/>
      </c>
      <c r="JD72" s="3">
        <f t="shared" ca="1" si="516"/>
        <v>0</v>
      </c>
      <c r="JE72" s="3">
        <f ca="1">IFERROR(IF(JD72=1,(IF((JK40+JL40)&gt;=1,LARGE(JE$46:JE71,1)+1,0)),0),0)</f>
        <v>0</v>
      </c>
      <c r="JH72" s="3" t="str">
        <f t="shared" ca="1" si="183"/>
        <v/>
      </c>
      <c r="KC72" s="3">
        <f t="shared" ca="1" si="516"/>
        <v>0</v>
      </c>
      <c r="KD72" s="3">
        <f ca="1">IFERROR(IF(KC72=1,(IF((KJ40+KK40)&gt;=1,LARGE(KD$46:KD71,1)+1,0)),0),0)</f>
        <v>0</v>
      </c>
      <c r="KG72" s="3" t="str">
        <f t="shared" ca="1" si="199"/>
        <v/>
      </c>
    </row>
    <row r="73" spans="14:293" hidden="1" x14ac:dyDescent="0.25">
      <c r="N73" s="3">
        <f t="shared" ca="1" si="213"/>
        <v>0</v>
      </c>
      <c r="O73" s="3">
        <f ca="1">IFERROR(IF(N73=1,(IF((U41+V41)&gt;=1,LARGE(O$46:O72,1)+1,0)),0),0)</f>
        <v>0</v>
      </c>
      <c r="R73" s="3" t="str">
        <f t="shared" ca="1" si="402"/>
        <v>दाल-चावल</v>
      </c>
      <c r="AM73" s="3">
        <f t="shared" ca="1" si="513"/>
        <v>0</v>
      </c>
      <c r="AN73" s="3">
        <f ca="1">IFERROR(IF(AM73=1,(IF((AT41+AU41)&gt;=1,LARGE(AN$46:AN72,1)+1,0)),0),0)</f>
        <v>0</v>
      </c>
      <c r="AQ73" s="3" t="str">
        <f t="shared" ca="1" si="39"/>
        <v>दाल-रोटी</v>
      </c>
      <c r="BL73" s="3">
        <f t="shared" ca="1" si="513"/>
        <v>0</v>
      </c>
      <c r="BM73" s="3">
        <f ca="1">IFERROR(IF(BL73=1,(IF((BS41+BT41)&gt;=1,LARGE(BM$46:BM72,1)+1,0)),0),0)</f>
        <v>0</v>
      </c>
      <c r="BP73" s="3">
        <f t="shared" ca="1" si="55"/>
        <v>0</v>
      </c>
      <c r="CK73" s="3">
        <f t="shared" ca="1" si="513"/>
        <v>0</v>
      </c>
      <c r="CL73" s="3">
        <f ca="1">IFERROR(IF(CK73=1,(IF((CR41+CS41)&gt;=1,LARGE(CL$46:CL72,1)+1,0)),0),0)</f>
        <v>0</v>
      </c>
      <c r="CO73" s="3" t="str">
        <f t="shared" ca="1" si="71"/>
        <v>दाल-रोटी</v>
      </c>
      <c r="DJ73" s="3">
        <f t="shared" ca="1" si="514"/>
        <v>0</v>
      </c>
      <c r="DK73" s="3">
        <f ca="1">IFERROR(IF(DJ73=1,(IF((DQ41+DR41)&gt;=1,LARGE(DK$46:DK72,1)+1,0)),0),0)</f>
        <v>0</v>
      </c>
      <c r="DN73" s="3" t="str">
        <f t="shared" ca="1" si="87"/>
        <v>सब्जी-रोटी</v>
      </c>
      <c r="EI73" s="3">
        <f t="shared" ca="1" si="514"/>
        <v>1</v>
      </c>
      <c r="EJ73" s="3">
        <f ca="1">IFERROR(IF(EI73=1,(IF((EP41+EQ41)&gt;=1,LARGE(EJ$46:EJ72,1)+1,0)),0),0)</f>
        <v>0</v>
      </c>
      <c r="EM73" s="3" t="str">
        <f t="shared" ca="1" si="103"/>
        <v>सब्जी-रोटी</v>
      </c>
      <c r="FH73" s="3">
        <f t="shared" ca="1" si="514"/>
        <v>0</v>
      </c>
      <c r="FI73" s="3">
        <f ca="1">IFERROR(IF(FH73=1,(IF((FO41+FP41)&gt;=1,LARGE(FI$46:FI72,1)+1,0)),0),0)</f>
        <v>0</v>
      </c>
      <c r="FL73" s="3" t="str">
        <f t="shared" ca="1" si="119"/>
        <v>खिचड़ी-सब्जी</v>
      </c>
      <c r="GG73" s="3">
        <f t="shared" ca="1" si="515"/>
        <v>0</v>
      </c>
      <c r="GH73" s="3">
        <f ca="1">IFERROR(IF(GG73=1,(IF((GN41+GO41)&gt;=1,LARGE(GH$46:GH72,1)+1,0)),0),0)</f>
        <v>0</v>
      </c>
      <c r="GK73" s="3" t="str">
        <f t="shared" ca="1" si="135"/>
        <v>सब्जी-रोटी</v>
      </c>
      <c r="HF73" s="3">
        <f t="shared" ca="1" si="515"/>
        <v>0</v>
      </c>
      <c r="HG73" s="3">
        <f ca="1">IFERROR(IF(HF73=1,(IF((HM41+HN41)&gt;=1,LARGE(HG$46:HG72,1)+1,0)),0),0)</f>
        <v>0</v>
      </c>
      <c r="HJ73" s="3" t="str">
        <f t="shared" ca="1" si="151"/>
        <v/>
      </c>
      <c r="IE73" s="3">
        <f t="shared" ca="1" si="515"/>
        <v>0</v>
      </c>
      <c r="IF73" s="3">
        <f ca="1">IFERROR(IF(IE73=1,(IF((IL41+IM41)&gt;=1,LARGE(IF$46:IF72,1)+1,0)),0),0)</f>
        <v>0</v>
      </c>
      <c r="II73" s="3" t="str">
        <f t="shared" ca="1" si="167"/>
        <v/>
      </c>
      <c r="JD73" s="3">
        <f t="shared" ca="1" si="516"/>
        <v>0</v>
      </c>
      <c r="JE73" s="3">
        <f ca="1">IFERROR(IF(JD73=1,(IF((JK41+JL41)&gt;=1,LARGE(JE$46:JE72,1)+1,0)),0),0)</f>
        <v>0</v>
      </c>
      <c r="JH73" s="3" t="str">
        <f t="shared" ca="1" si="183"/>
        <v/>
      </c>
      <c r="KC73" s="3">
        <f t="shared" ca="1" si="516"/>
        <v>0</v>
      </c>
      <c r="KD73" s="3">
        <f ca="1">IFERROR(IF(KC73=1,(IF((KJ41+KK41)&gt;=1,LARGE(KD$46:KD72,1)+1,0)),0),0)</f>
        <v>0</v>
      </c>
      <c r="KG73" s="3" t="str">
        <f t="shared" ca="1" si="199"/>
        <v/>
      </c>
    </row>
    <row r="74" spans="14:293" hidden="1" x14ac:dyDescent="0.25">
      <c r="N74" s="3">
        <f t="shared" ca="1" si="213"/>
        <v>0</v>
      </c>
      <c r="O74" s="3">
        <f ca="1">IFERROR(IF(N74=1,(IF((U42+V42)&gt;=1,LARGE(O$46:O73,1)+1,0)),0),0)</f>
        <v>0</v>
      </c>
      <c r="R74" s="3" t="str">
        <f t="shared" ca="1" si="402"/>
        <v>दाल-रोटी</v>
      </c>
      <c r="AM74" s="3">
        <f t="shared" ca="1" si="513"/>
        <v>0</v>
      </c>
      <c r="AN74" s="3">
        <f ca="1">IFERROR(IF(AM74=1,(IF((AT42+AU42)&gt;=1,LARGE(AN$46:AN73,1)+1,0)),0),0)</f>
        <v>0</v>
      </c>
      <c r="AQ74" s="3" t="str">
        <f t="shared" ca="1" si="39"/>
        <v>सब्जी-रोटी</v>
      </c>
      <c r="BL74" s="3">
        <f t="shared" ca="1" si="513"/>
        <v>1</v>
      </c>
      <c r="BM74" s="3">
        <f ca="1">IFERROR(IF(BL74=1,(IF((BS42+BT42)&gt;=1,LARGE(BM$46:BM73,1)+1,0)),0),0)</f>
        <v>0</v>
      </c>
      <c r="BP74" s="3" t="str">
        <f t="shared" ca="1" si="55"/>
        <v>सब्जी-रोटी</v>
      </c>
      <c r="CK74" s="3">
        <f t="shared" ca="1" si="513"/>
        <v>0</v>
      </c>
      <c r="CL74" s="3">
        <f ca="1">IFERROR(IF(CK74=1,(IF((CR42+CS42)&gt;=1,LARGE(CL$46:CL73,1)+1,0)),0),0)</f>
        <v>0</v>
      </c>
      <c r="CO74" s="3" t="str">
        <f t="shared" ca="1" si="71"/>
        <v>खिचड़ी-सब्जी</v>
      </c>
      <c r="DJ74" s="3">
        <f t="shared" ca="1" si="514"/>
        <v>0</v>
      </c>
      <c r="DK74" s="3">
        <f ca="1">IFERROR(IF(DJ74=1,(IF((DQ42+DR42)&gt;=1,LARGE(DK$46:DK73,1)+1,0)),0),0)</f>
        <v>0</v>
      </c>
      <c r="DN74" s="3">
        <f t="shared" ca="1" si="87"/>
        <v>0</v>
      </c>
      <c r="EI74" s="3">
        <f t="shared" ca="1" si="514"/>
        <v>0</v>
      </c>
      <c r="EJ74" s="3">
        <f ca="1">IFERROR(IF(EI74=1,(IF((EP42+EQ42)&gt;=1,LARGE(EJ$46:EJ73,1)+1,0)),0),0)</f>
        <v>0</v>
      </c>
      <c r="EM74" s="3" t="str">
        <f t="shared" ca="1" si="103"/>
        <v>दाल-चावल</v>
      </c>
      <c r="FH74" s="3">
        <f t="shared" ca="1" si="514"/>
        <v>0</v>
      </c>
      <c r="FI74" s="3">
        <f ca="1">IFERROR(IF(FH74=1,(IF((FO42+FP42)&gt;=1,LARGE(FI$46:FI73,1)+1,0)),0),0)</f>
        <v>0</v>
      </c>
      <c r="FL74" s="3" t="str">
        <f t="shared" ca="1" si="119"/>
        <v>दाल-रोटी</v>
      </c>
      <c r="GG74" s="3">
        <f t="shared" ca="1" si="515"/>
        <v>0</v>
      </c>
      <c r="GH74" s="3">
        <f ca="1">IFERROR(IF(GG74=1,(IF((GN42+GO42)&gt;=1,LARGE(GH$46:GH73,1)+1,0)),0),0)</f>
        <v>0</v>
      </c>
      <c r="GK74" s="3">
        <f t="shared" ca="1" si="135"/>
        <v>0</v>
      </c>
      <c r="HF74" s="3">
        <f t="shared" ca="1" si="515"/>
        <v>0</v>
      </c>
      <c r="HG74" s="3">
        <f ca="1">IFERROR(IF(HF74=1,(IF((HM42+HN42)&gt;=1,LARGE(HG$46:HG73,1)+1,0)),0),0)</f>
        <v>0</v>
      </c>
      <c r="HJ74" s="3" t="str">
        <f t="shared" ca="1" si="151"/>
        <v/>
      </c>
      <c r="IE74" s="3">
        <f t="shared" ca="1" si="515"/>
        <v>0</v>
      </c>
      <c r="IF74" s="3">
        <f ca="1">IFERROR(IF(IE74=1,(IF((IL42+IM42)&gt;=1,LARGE(IF$46:IF73,1)+1,0)),0),0)</f>
        <v>0</v>
      </c>
      <c r="II74" s="3" t="str">
        <f t="shared" ca="1" si="167"/>
        <v/>
      </c>
      <c r="JD74" s="3">
        <f t="shared" ca="1" si="516"/>
        <v>0</v>
      </c>
      <c r="JE74" s="3">
        <f ca="1">IFERROR(IF(JD74=1,(IF((JK42+JL42)&gt;=1,LARGE(JE$46:JE73,1)+1,0)),0),0)</f>
        <v>0</v>
      </c>
      <c r="JH74" s="3" t="str">
        <f t="shared" ca="1" si="183"/>
        <v/>
      </c>
      <c r="KC74" s="3">
        <f t="shared" ca="1" si="516"/>
        <v>0</v>
      </c>
      <c r="KD74" s="3">
        <f ca="1">IFERROR(IF(KC74=1,(IF((KJ42+KK42)&gt;=1,LARGE(KD$46:KD73,1)+1,0)),0),0)</f>
        <v>0</v>
      </c>
      <c r="KG74" s="3" t="str">
        <f t="shared" ca="1" si="199"/>
        <v/>
      </c>
    </row>
    <row r="75" spans="14:293" hidden="1" x14ac:dyDescent="0.25">
      <c r="N75" s="3">
        <f t="shared" ca="1" si="213"/>
        <v>0</v>
      </c>
      <c r="O75" s="3">
        <f ca="1">IFERROR(IF(N75=1,(IF((U43+V43)&gt;=1,LARGE(O$46:O74,1)+1,0)),0),0)</f>
        <v>0</v>
      </c>
      <c r="R75" s="3" t="str">
        <f t="shared" ca="1" si="402"/>
        <v>खिचड़ी-सब्जी</v>
      </c>
      <c r="AM75" s="3">
        <f t="shared" ca="1" si="513"/>
        <v>0</v>
      </c>
      <c r="AN75" s="3">
        <f ca="1">IFERROR(IF(AM75=1,(IF((AT43+AU43)&gt;=1,LARGE(AN$46:AN74,1)+1,0)),0),0)</f>
        <v>0</v>
      </c>
      <c r="AQ75" s="3">
        <f t="shared" ca="1" si="39"/>
        <v>0</v>
      </c>
      <c r="BL75" s="3">
        <f t="shared" ca="1" si="513"/>
        <v>0</v>
      </c>
      <c r="BM75" s="3">
        <f ca="1">IFERROR(IF(BL75=1,(IF((BS43+BT43)&gt;=1,LARGE(BM$46:BM74,1)+1,0)),0),0)</f>
        <v>0</v>
      </c>
      <c r="BP75" s="3" t="str">
        <f t="shared" ca="1" si="55"/>
        <v>दाल-चावल</v>
      </c>
      <c r="CK75" s="3">
        <f t="shared" ca="1" si="513"/>
        <v>0</v>
      </c>
      <c r="CL75" s="3">
        <f ca="1">IFERROR(IF(CK75=1,(IF((CR43+CS43)&gt;=1,LARGE(CL$46:CL74,1)+1,0)),0),0)</f>
        <v>0</v>
      </c>
      <c r="CO75" s="3" t="str">
        <f t="shared" ca="1" si="71"/>
        <v>दाल-रोटी</v>
      </c>
      <c r="DJ75" s="3">
        <f t="shared" ca="1" si="514"/>
        <v>1</v>
      </c>
      <c r="DK75" s="3">
        <f ca="1">IFERROR(IF(DJ75=1,(IF((DQ43+DR43)&gt;=1,LARGE(DK$46:DK74,1)+1,0)),0),0)</f>
        <v>0</v>
      </c>
      <c r="DN75" s="3" t="str">
        <f t="shared" ca="1" si="87"/>
        <v>सब्जी-रोटी</v>
      </c>
      <c r="EI75" s="3">
        <f t="shared" ca="1" si="514"/>
        <v>0</v>
      </c>
      <c r="EJ75" s="3">
        <f ca="1">IFERROR(IF(EI75=1,(IF((EP43+EQ43)&gt;=1,LARGE(EJ$46:EJ74,1)+1,0)),0),0)</f>
        <v>0</v>
      </c>
      <c r="EM75" s="3" t="str">
        <f t="shared" ca="1" si="103"/>
        <v>दाल-रोटी</v>
      </c>
      <c r="FH75" s="3">
        <f t="shared" ca="1" si="514"/>
        <v>0</v>
      </c>
      <c r="FI75" s="3">
        <f ca="1">IFERROR(IF(FH75=1,(IF((FO43+FP43)&gt;=1,LARGE(FI$46:FI74,1)+1,0)),0),0)</f>
        <v>0</v>
      </c>
      <c r="FL75" s="3" t="str">
        <f t="shared" ca="1" si="119"/>
        <v>सब्जी-रोटी</v>
      </c>
      <c r="GG75" s="3">
        <f t="shared" ca="1" si="515"/>
        <v>1</v>
      </c>
      <c r="GH75" s="3">
        <f ca="1">IFERROR(IF(GG75=1,(IF((GN43+GO43)&gt;=1,LARGE(GH$46:GH74,1)+1,0)),0),0)</f>
        <v>0</v>
      </c>
      <c r="GK75" s="3" t="str">
        <f t="shared" ca="1" si="135"/>
        <v>सब्जी-रोटी</v>
      </c>
      <c r="HF75" s="3">
        <f t="shared" ca="1" si="515"/>
        <v>0</v>
      </c>
      <c r="HG75" s="3">
        <f ca="1">IFERROR(IF(HF75=1,(IF((HM43+HN43)&gt;=1,LARGE(HG$46:HG74,1)+1,0)),0),0)</f>
        <v>0</v>
      </c>
      <c r="HJ75" s="3" t="str">
        <f t="shared" ca="1" si="151"/>
        <v/>
      </c>
      <c r="IE75" s="3">
        <f t="shared" si="515"/>
        <v>0</v>
      </c>
      <c r="IF75" s="3">
        <f>IFERROR(IF(IE75=1,(IF((IL43+IM43)&gt;=1,LARGE(IF$46:IF74,1)+1,0)),0),0)</f>
        <v>0</v>
      </c>
      <c r="II75" s="3" t="str">
        <f t="shared" si="167"/>
        <v/>
      </c>
      <c r="JD75" s="3">
        <f t="shared" ca="1" si="516"/>
        <v>0</v>
      </c>
      <c r="JE75" s="3">
        <f ca="1">IFERROR(IF(JD75=1,(IF((JK43+JL43)&gt;=1,LARGE(JE$46:JE74,1)+1,0)),0),0)</f>
        <v>0</v>
      </c>
      <c r="JH75" s="3" t="str">
        <f t="shared" ca="1" si="183"/>
        <v/>
      </c>
      <c r="KC75" s="3">
        <f t="shared" ca="1" si="516"/>
        <v>0</v>
      </c>
      <c r="KD75" s="3">
        <f ca="1">IFERROR(IF(KC75=1,(IF((KJ43+KK43)&gt;=1,LARGE(KD$46:KD74,1)+1,0)),0),0)</f>
        <v>0</v>
      </c>
      <c r="KG75" s="3" t="str">
        <f t="shared" ca="1" si="199"/>
        <v/>
      </c>
    </row>
    <row r="76" spans="14:293" hidden="1" x14ac:dyDescent="0.25">
      <c r="N76" s="3">
        <f t="shared" ca="1" si="213"/>
        <v>0</v>
      </c>
      <c r="O76" s="3">
        <f ca="1">IFERROR(IF(N76=1,(IF((U44+V44)&gt;=1,LARGE(O$46:O75,1)+1,0)),0),0)</f>
        <v>0</v>
      </c>
      <c r="R76" s="3" t="str">
        <f t="shared" ca="1" si="402"/>
        <v>दाल-रोटी</v>
      </c>
      <c r="AM76" s="3">
        <f t="shared" si="513"/>
        <v>0</v>
      </c>
      <c r="AN76" s="3">
        <f>IFERROR(IF(AM76=1,(IF((AT44+AU44)&gt;=1,LARGE(AN$46:AN75,1)+1,0)),0),0)</f>
        <v>0</v>
      </c>
      <c r="AQ76" s="3" t="str">
        <f t="shared" si="39"/>
        <v/>
      </c>
      <c r="BL76" s="3">
        <f t="shared" ca="1" si="513"/>
        <v>0</v>
      </c>
      <c r="BM76" s="3">
        <f ca="1">IFERROR(IF(BL76=1,(IF((BS44+BT44)&gt;=1,LARGE(BM$46:BM75,1)+1,0)),0),0)</f>
        <v>0</v>
      </c>
      <c r="BP76" s="3" t="str">
        <f t="shared" ca="1" si="55"/>
        <v>दाल-रोटी</v>
      </c>
      <c r="CK76" s="3">
        <f t="shared" ca="1" si="513"/>
        <v>0</v>
      </c>
      <c r="CL76" s="3">
        <f ca="1">IFERROR(IF(CK76=1,(IF((CR44+CS44)&gt;=1,LARGE(CL$46:CL75,1)+1,0)),0),0)</f>
        <v>0</v>
      </c>
      <c r="CO76" s="3" t="str">
        <f t="shared" ca="1" si="71"/>
        <v>सब्जी-रोटी</v>
      </c>
      <c r="DJ76" s="3">
        <f t="shared" si="514"/>
        <v>0</v>
      </c>
      <c r="DK76" s="3">
        <f>IFERROR(IF(DJ76=1,(IF((DQ44+DR44)&gt;=1,LARGE(DK$46:DK75,1)+1,0)),0),0)</f>
        <v>0</v>
      </c>
      <c r="DN76" s="3" t="str">
        <f t="shared" si="87"/>
        <v/>
      </c>
      <c r="EI76" s="3">
        <f t="shared" ca="1" si="514"/>
        <v>0</v>
      </c>
      <c r="EJ76" s="3">
        <f ca="1">IFERROR(IF(EI76=1,(IF((EP44+EQ44)&gt;=1,LARGE(EJ$46:EJ75,1)+1,0)),0),0)</f>
        <v>0</v>
      </c>
      <c r="EM76" s="3" t="str">
        <f t="shared" ca="1" si="103"/>
        <v>खिचड़ी-सब्जी</v>
      </c>
      <c r="FH76" s="3">
        <f t="shared" si="514"/>
        <v>0</v>
      </c>
      <c r="FI76" s="3">
        <f>IFERROR(IF(FH76=1,(IF((FO44+FP44)&gt;=1,LARGE(FI$46:FI75,1)+1,0)),0),0)</f>
        <v>0</v>
      </c>
      <c r="FL76" s="3" t="str">
        <f t="shared" si="119"/>
        <v/>
      </c>
      <c r="GG76" s="3">
        <f t="shared" ca="1" si="515"/>
        <v>0</v>
      </c>
      <c r="GH76" s="3">
        <f ca="1">IFERROR(IF(GG76=1,(IF((GN44+GO44)&gt;=1,LARGE(GH$46:GH75,1)+1,0)),0),0)</f>
        <v>0</v>
      </c>
      <c r="GK76" s="3" t="str">
        <f t="shared" ca="1" si="135"/>
        <v>दाल-चावल</v>
      </c>
      <c r="HF76" s="3">
        <f t="shared" ca="1" si="515"/>
        <v>0</v>
      </c>
      <c r="HG76" s="3">
        <f ca="1">IFERROR(IF(HF76=1,(IF((HM44+HN44)&gt;=1,LARGE(HG$46:HG75,1)+1,0)),0),0)</f>
        <v>0</v>
      </c>
      <c r="HJ76" s="3" t="str">
        <f t="shared" ca="1" si="151"/>
        <v/>
      </c>
      <c r="IE76" s="3">
        <f t="shared" si="515"/>
        <v>0</v>
      </c>
      <c r="IF76" s="3">
        <f>IFERROR(IF(IE76=1,(IF((IL44+IM44)&gt;=1,LARGE(IF$46:IF75,1)+1,0)),0),0)</f>
        <v>0</v>
      </c>
      <c r="II76" s="3" t="str">
        <f t="shared" si="167"/>
        <v/>
      </c>
      <c r="JD76" s="3">
        <f t="shared" ca="1" si="516"/>
        <v>0</v>
      </c>
      <c r="JE76" s="3">
        <f ca="1">IFERROR(IF(JD76=1,(IF((JK44+JL44)&gt;=1,LARGE(JE$46:JE75,1)+1,0)),0),0)</f>
        <v>0</v>
      </c>
      <c r="JH76" s="3" t="str">
        <f t="shared" ca="1" si="183"/>
        <v/>
      </c>
      <c r="KC76" s="3">
        <f t="shared" si="516"/>
        <v>0</v>
      </c>
      <c r="KD76" s="3">
        <f>IFERROR(IF(KC76=1,(IF((KJ44+KK44)&gt;=1,LARGE(KD$46:KD75,1)+1,0)),0),0)</f>
        <v>0</v>
      </c>
      <c r="KG76" s="3" t="str">
        <f t="shared" si="199"/>
        <v/>
      </c>
    </row>
  </sheetData>
  <sheetProtection password="C242" sheet="1" objects="1" scenarios="1"/>
  <mergeCells count="204">
    <mergeCell ref="JX12:JY12"/>
    <mergeCell ref="JZ12:KA12"/>
    <mergeCell ref="KP12:KP13"/>
    <mergeCell ref="KQ12:KR12"/>
    <mergeCell ref="KS12:KT12"/>
    <mergeCell ref="KU12:KV12"/>
    <mergeCell ref="KW12:KX12"/>
    <mergeCell ref="KY12:KZ12"/>
    <mergeCell ref="KN12:KO12"/>
    <mergeCell ref="KC11:KC13"/>
    <mergeCell ref="KD11:KD13"/>
    <mergeCell ref="KE11:KE13"/>
    <mergeCell ref="KF11:KG12"/>
    <mergeCell ref="KH11:KI12"/>
    <mergeCell ref="KJ11:KO11"/>
    <mergeCell ref="KJ12:KK12"/>
    <mergeCell ref="KL12:KM12"/>
    <mergeCell ref="JA12:JB12"/>
    <mergeCell ref="JQ12:JQ13"/>
    <mergeCell ref="JR12:JS12"/>
    <mergeCell ref="JT12:JU12"/>
    <mergeCell ref="JO12:JP12"/>
    <mergeCell ref="JF11:JF13"/>
    <mergeCell ref="JG11:JH12"/>
    <mergeCell ref="JI11:JJ12"/>
    <mergeCell ref="JV12:JW12"/>
    <mergeCell ref="GW12:GX12"/>
    <mergeCell ref="GJ11:GK12"/>
    <mergeCell ref="GL11:GM12"/>
    <mergeCell ref="GN11:GS11"/>
    <mergeCell ref="IR12:IR13"/>
    <mergeCell ref="IS12:IT12"/>
    <mergeCell ref="IU12:IV12"/>
    <mergeCell ref="IW12:IX12"/>
    <mergeCell ref="IY12:IZ12"/>
    <mergeCell ref="HC12:HD12"/>
    <mergeCell ref="HS12:HS13"/>
    <mergeCell ref="HT12:HU12"/>
    <mergeCell ref="HV12:HW12"/>
    <mergeCell ref="HX12:HY12"/>
    <mergeCell ref="HZ12:IA12"/>
    <mergeCell ref="IB12:IC12"/>
    <mergeCell ref="HG11:HG13"/>
    <mergeCell ref="HH11:HH13"/>
    <mergeCell ref="HI11:HJ12"/>
    <mergeCell ref="HK11:HL12"/>
    <mergeCell ref="HM11:HR11"/>
    <mergeCell ref="HF11:HF13"/>
    <mergeCell ref="GY12:GZ12"/>
    <mergeCell ref="HA12:HB12"/>
    <mergeCell ref="FH10:GE10"/>
    <mergeCell ref="GG10:HD10"/>
    <mergeCell ref="HF10:IC10"/>
    <mergeCell ref="IE10:JB10"/>
    <mergeCell ref="JD10:KA10"/>
    <mergeCell ref="KC10:KZ10"/>
    <mergeCell ref="FU11:GE11"/>
    <mergeCell ref="GT11:HD11"/>
    <mergeCell ref="HS11:IC11"/>
    <mergeCell ref="IR11:JB11"/>
    <mergeCell ref="JQ11:KA11"/>
    <mergeCell ref="KP11:KZ11"/>
    <mergeCell ref="IL11:IQ11"/>
    <mergeCell ref="JD11:JD13"/>
    <mergeCell ref="JE11:JE13"/>
    <mergeCell ref="GR12:GS12"/>
    <mergeCell ref="HM12:HN12"/>
    <mergeCell ref="HO12:HP12"/>
    <mergeCell ref="HQ12:HR12"/>
    <mergeCell ref="IL12:IM12"/>
    <mergeCell ref="IN12:IO12"/>
    <mergeCell ref="IP12:IQ12"/>
    <mergeCell ref="JK12:JL12"/>
    <mergeCell ref="JM12:JN12"/>
    <mergeCell ref="AM10:BJ10"/>
    <mergeCell ref="BL10:CI10"/>
    <mergeCell ref="CK10:DH10"/>
    <mergeCell ref="DJ10:EG10"/>
    <mergeCell ref="EI10:FF10"/>
    <mergeCell ref="DA12:DB12"/>
    <mergeCell ref="DC12:DD12"/>
    <mergeCell ref="DE12:DF12"/>
    <mergeCell ref="DG12:DH12"/>
    <mergeCell ref="DW11:EG11"/>
    <mergeCell ref="DW12:DW13"/>
    <mergeCell ref="DX12:DY12"/>
    <mergeCell ref="DZ12:EA12"/>
    <mergeCell ref="EB12:EC12"/>
    <mergeCell ref="ED12:EE12"/>
    <mergeCell ref="EF12:EG12"/>
    <mergeCell ref="BY11:CI11"/>
    <mergeCell ref="DQ12:DR12"/>
    <mergeCell ref="DS12:DT12"/>
    <mergeCell ref="DU12:DV12"/>
    <mergeCell ref="EI11:EI13"/>
    <mergeCell ref="EJ11:EJ13"/>
    <mergeCell ref="EK11:EK13"/>
    <mergeCell ref="EL11:EM12"/>
    <mergeCell ref="AF12:AG12"/>
    <mergeCell ref="AH12:AI12"/>
    <mergeCell ref="AJ12:AK12"/>
    <mergeCell ref="AZ11:BJ11"/>
    <mergeCell ref="AZ12:AZ13"/>
    <mergeCell ref="BA12:BB12"/>
    <mergeCell ref="BC12:BD12"/>
    <mergeCell ref="BE12:BF12"/>
    <mergeCell ref="BG12:BH12"/>
    <mergeCell ref="BI12:BJ12"/>
    <mergeCell ref="EV11:FF11"/>
    <mergeCell ref="EV12:EV13"/>
    <mergeCell ref="EW12:EX12"/>
    <mergeCell ref="EY12:EZ12"/>
    <mergeCell ref="FA12:FB12"/>
    <mergeCell ref="FC12:FD12"/>
    <mergeCell ref="FE12:FF12"/>
    <mergeCell ref="FU12:FU13"/>
    <mergeCell ref="FV12:FW12"/>
    <mergeCell ref="FX12:FY12"/>
    <mergeCell ref="FZ12:GA12"/>
    <mergeCell ref="GB12:GC12"/>
    <mergeCell ref="GD12:GE12"/>
    <mergeCell ref="GT12:GT13"/>
    <mergeCell ref="GU12:GV12"/>
    <mergeCell ref="FH11:FH13"/>
    <mergeCell ref="FI11:FI13"/>
    <mergeCell ref="FJ11:FJ13"/>
    <mergeCell ref="FK11:FL12"/>
    <mergeCell ref="FM11:FN12"/>
    <mergeCell ref="FO11:FT11"/>
    <mergeCell ref="GG11:GG13"/>
    <mergeCell ref="GH11:GH13"/>
    <mergeCell ref="GI11:GI13"/>
    <mergeCell ref="BU12:BV12"/>
    <mergeCell ref="BW12:BX12"/>
    <mergeCell ref="CL11:CL13"/>
    <mergeCell ref="CM11:CM13"/>
    <mergeCell ref="EN11:EO12"/>
    <mergeCell ref="EP11:EU11"/>
    <mergeCell ref="ER12:ES12"/>
    <mergeCell ref="ET12:EU12"/>
    <mergeCell ref="BY12:BY13"/>
    <mergeCell ref="BZ12:CA12"/>
    <mergeCell ref="CB12:CC12"/>
    <mergeCell ref="CD12:CE12"/>
    <mergeCell ref="CF12:CG12"/>
    <mergeCell ref="CH12:CI12"/>
    <mergeCell ref="CX11:DH11"/>
    <mergeCell ref="CX12:CX13"/>
    <mergeCell ref="CY12:CZ12"/>
    <mergeCell ref="CP11:CQ12"/>
    <mergeCell ref="CR11:CW11"/>
    <mergeCell ref="CV12:CW12"/>
    <mergeCell ref="DJ11:DJ13"/>
    <mergeCell ref="DK11:DK13"/>
    <mergeCell ref="DO11:DP12"/>
    <mergeCell ref="DQ11:DV11"/>
    <mergeCell ref="DL11:DL13"/>
    <mergeCell ref="DM11:DN12"/>
    <mergeCell ref="N11:N13"/>
    <mergeCell ref="Q11:R12"/>
    <mergeCell ref="S11:T12"/>
    <mergeCell ref="U11:Z11"/>
    <mergeCell ref="AM11:AM13"/>
    <mergeCell ref="U12:V12"/>
    <mergeCell ref="W12:X12"/>
    <mergeCell ref="Y12:Z12"/>
    <mergeCell ref="P11:P13"/>
    <mergeCell ref="O11:O13"/>
    <mergeCell ref="AT12:AU12"/>
    <mergeCell ref="AV12:AW12"/>
    <mergeCell ref="AX12:AY12"/>
    <mergeCell ref="AA11:AK11"/>
    <mergeCell ref="AB12:AC12"/>
    <mergeCell ref="AD12:AE12"/>
    <mergeCell ref="BM11:BM13"/>
    <mergeCell ref="BN11:BN13"/>
    <mergeCell ref="BO11:BP12"/>
    <mergeCell ref="BQ11:BR12"/>
    <mergeCell ref="BS11:BX11"/>
    <mergeCell ref="BS12:BT12"/>
    <mergeCell ref="N10:AK10"/>
    <mergeCell ref="AA12:AA13"/>
    <mergeCell ref="JK11:JP11"/>
    <mergeCell ref="FO12:FP12"/>
    <mergeCell ref="FQ12:FR12"/>
    <mergeCell ref="FS12:FT12"/>
    <mergeCell ref="GN12:GO12"/>
    <mergeCell ref="GP12:GQ12"/>
    <mergeCell ref="AN11:AN13"/>
    <mergeCell ref="AO11:AO13"/>
    <mergeCell ref="AP11:AQ12"/>
    <mergeCell ref="AR11:AS12"/>
    <mergeCell ref="AT11:AY11"/>
    <mergeCell ref="IE11:IE13"/>
    <mergeCell ref="IF11:IF13"/>
    <mergeCell ref="IG11:IG13"/>
    <mergeCell ref="IH11:II12"/>
    <mergeCell ref="IJ11:IK12"/>
    <mergeCell ref="EP12:EQ12"/>
    <mergeCell ref="CK11:CK13"/>
    <mergeCell ref="CN11:CO12"/>
    <mergeCell ref="CR12:CS12"/>
    <mergeCell ref="CT12:CU12"/>
    <mergeCell ref="BL11:BL13"/>
  </mergeCells>
  <conditionalFormatting sqref="N14:P44">
    <cfRule type="cellIs" dxfId="159" priority="1" operator="equal">
      <formula>0</formula>
    </cfRule>
  </conditionalFormatting>
  <conditionalFormatting sqref="AM14:BJ44">
    <cfRule type="cellIs" dxfId="158" priority="23" operator="equal">
      <formula>0</formula>
    </cfRule>
  </conditionalFormatting>
  <conditionalFormatting sqref="BL14:CI44">
    <cfRule type="cellIs" dxfId="157" priority="22" operator="equal">
      <formula>0</formula>
    </cfRule>
  </conditionalFormatting>
  <conditionalFormatting sqref="CK14:DH44">
    <cfRule type="cellIs" dxfId="156" priority="21" operator="equal">
      <formula>0</formula>
    </cfRule>
  </conditionalFormatting>
  <conditionalFormatting sqref="DJ14:EG44">
    <cfRule type="cellIs" dxfId="155" priority="20" operator="equal">
      <formula>0</formula>
    </cfRule>
  </conditionalFormatting>
  <conditionalFormatting sqref="EI14:FF44">
    <cfRule type="cellIs" dxfId="154" priority="19" operator="equal">
      <formula>0</formula>
    </cfRule>
  </conditionalFormatting>
  <conditionalFormatting sqref="FH14:GE44">
    <cfRule type="cellIs" dxfId="153" priority="11" operator="equal">
      <formula>0</formula>
    </cfRule>
  </conditionalFormatting>
  <conditionalFormatting sqref="GG14:HD44">
    <cfRule type="cellIs" dxfId="152" priority="10" operator="equal">
      <formula>0</formula>
    </cfRule>
  </conditionalFormatting>
  <conditionalFormatting sqref="HF14:IC44">
    <cfRule type="cellIs" dxfId="151" priority="9" operator="equal">
      <formula>0</formula>
    </cfRule>
  </conditionalFormatting>
  <conditionalFormatting sqref="IE14:JB44">
    <cfRule type="cellIs" dxfId="150" priority="8" operator="equal">
      <formula>0</formula>
    </cfRule>
  </conditionalFormatting>
  <conditionalFormatting sqref="JD14:KA44">
    <cfRule type="cellIs" dxfId="149" priority="7" operator="equal">
      <formula>0</formula>
    </cfRule>
  </conditionalFormatting>
  <conditionalFormatting sqref="KC14:KZ44">
    <cfRule type="cellIs" dxfId="148" priority="6" operator="equal">
      <formula>0</formula>
    </cfRule>
  </conditionalFormatting>
  <conditionalFormatting sqref="M9:LA45">
    <cfRule type="expression" dxfId="147" priority="24">
      <formula>M$1=0</formula>
    </cfRule>
  </conditionalFormatting>
  <dataValidations count="4">
    <dataValidation type="list" allowBlank="1" showInputMessage="1" showErrorMessage="1" sqref="R14:R44 AQ14:AQ44 BP14:BP44 CO14:CO44 DN14:DN44 EM14:EM44 FL14:FL44 GK14:GK44 HJ14:HJ44 II14:II44 JH14:JH44 KG14:KG44" xr:uid="{00000000-0002-0000-0500-000000000000}">
      <formula1>IF(Q14=$B$6,YES)</formula1>
    </dataValidation>
    <dataValidation type="list" allowBlank="1" showInputMessage="1" showErrorMessage="1" sqref="EV14:EV44 DW14:DW44 CX14:CX44 BY14:BY44 AZ14:AZ44 AA14:AA44 KP14:KP44 JQ14:JQ44 IR14:IR44 HS14:HS44 GT14:GT44 FU14:FU44" xr:uid="{00000000-0002-0000-0500-000001000000}">
      <formula1>सप्लायर</formula1>
    </dataValidation>
    <dataValidation type="list" allowBlank="1" showInputMessage="1" showErrorMessage="1" sqref="Q14:Q44 FK14:FK44" xr:uid="{00000000-0002-0000-0500-000002000000}">
      <formula1>$B$6</formula1>
    </dataValidation>
    <dataValidation type="list" allowBlank="1" showInputMessage="1" showErrorMessage="1" sqref="AP14:AP44 BO14:BO44 CN14:CN44 DM14:DM44 EL14:EL44 GJ14:GJ44 HI14:HI44 IH14:IH44 JG14:JG44 KF14:KF44" xr:uid="{00000000-0002-0000-0500-000003000000}">
      <formula1>"YES"</formula1>
    </dataValidation>
  </dataValidations>
  <pageMargins left="0" right="0" top="0" bottom="0" header="0" footer="0"/>
  <pageSetup paperSize="9" scale="73" orientation="landscape"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C00000"/>
  </sheetPr>
  <dimension ref="A1:AT33"/>
  <sheetViews>
    <sheetView view="pageBreakPreview" topLeftCell="S6" zoomScaleSheetLayoutView="100" workbookViewId="0">
      <pane xSplit="2" ySplit="3" topLeftCell="AB9" activePane="bottomRight" state="frozen"/>
      <selection activeCell="S6" sqref="S6"/>
      <selection pane="topRight" activeCell="U6" sqref="U6"/>
      <selection pane="bottomLeft" activeCell="S9" sqref="S9"/>
      <selection pane="bottomRight" activeCell="AN11" sqref="AN11"/>
    </sheetView>
  </sheetViews>
  <sheetFormatPr defaultRowHeight="15" x14ac:dyDescent="0.25"/>
  <cols>
    <col min="1" max="1" width="10.7109375" style="3" hidden="1" customWidth="1"/>
    <col min="2" max="2" width="12.28515625" style="3" hidden="1" customWidth="1"/>
    <col min="3" max="18" width="0" style="3" hidden="1" customWidth="1"/>
    <col min="19" max="19" width="4.7109375" style="3" customWidth="1"/>
    <col min="20" max="20" width="21" style="3" customWidth="1"/>
    <col min="21" max="24" width="8.7109375" style="3" customWidth="1"/>
    <col min="25" max="28" width="15.7109375" style="3" customWidth="1"/>
    <col min="29" max="36" width="10.7109375" style="3" customWidth="1"/>
    <col min="37" max="37" width="8.7109375" style="3" customWidth="1"/>
    <col min="38" max="38" width="17" style="3" customWidth="1"/>
    <col min="39" max="41" width="8.7109375" style="3" customWidth="1"/>
    <col min="42" max="46" width="6.7109375" style="3" hidden="1" customWidth="1"/>
    <col min="47" max="53" width="6.7109375" style="3" customWidth="1"/>
    <col min="54" max="54" width="13.7109375" style="3" customWidth="1"/>
    <col min="55" max="68" width="6.7109375" style="3" customWidth="1"/>
    <col min="69" max="69" width="13.7109375" style="3" customWidth="1"/>
    <col min="70" max="83" width="6.7109375" style="3" customWidth="1"/>
    <col min="84" max="84" width="13.7109375" style="3" customWidth="1"/>
    <col min="85" max="98" width="6.7109375" style="3" customWidth="1"/>
    <col min="99" max="99" width="13.7109375" style="3" customWidth="1"/>
    <col min="100" max="113" width="6.7109375" style="3" customWidth="1"/>
    <col min="114" max="114" width="13.7109375" style="3" customWidth="1"/>
    <col min="115" max="128" width="6.7109375" style="3" customWidth="1"/>
    <col min="129" max="129" width="13.7109375" style="3" customWidth="1"/>
    <col min="130" max="143" width="6.7109375" style="3" customWidth="1"/>
    <col min="144" max="144" width="13.7109375" style="3" customWidth="1"/>
    <col min="145" max="158" width="6.7109375" style="3" customWidth="1"/>
    <col min="159" max="159" width="13.7109375" style="3" customWidth="1"/>
    <col min="160" max="173" width="6.7109375" style="3" customWidth="1"/>
    <col min="174" max="174" width="13.7109375" style="3" customWidth="1"/>
    <col min="175" max="188" width="6.7109375" style="3" customWidth="1"/>
    <col min="189" max="189" width="13.7109375" style="3" customWidth="1"/>
    <col min="190" max="203" width="6.7109375" style="3" customWidth="1"/>
    <col min="204" max="204" width="13.7109375" style="3" customWidth="1"/>
    <col min="205" max="205" width="6.7109375" style="3" customWidth="1"/>
    <col min="206" max="16384" width="9.140625" style="3"/>
  </cols>
  <sheetData>
    <row r="1" spans="1:46" hidden="1" x14ac:dyDescent="0.25"/>
    <row r="2" spans="1:46" hidden="1" x14ac:dyDescent="0.25">
      <c r="G2" s="3">
        <v>1</v>
      </c>
      <c r="H2" s="3">
        <v>2</v>
      </c>
    </row>
    <row r="3" spans="1:46" hidden="1" x14ac:dyDescent="0.25">
      <c r="H3" s="3" t="str">
        <f>ADDRESS(G2,H2)</f>
        <v>$B$1</v>
      </c>
    </row>
    <row r="4" spans="1:46" hidden="1" x14ac:dyDescent="0.25"/>
    <row r="5" spans="1:46" hidden="1" x14ac:dyDescent="0.25">
      <c r="A5" s="52">
        <v>36526</v>
      </c>
    </row>
    <row r="6" spans="1:46" ht="27" customHeight="1" x14ac:dyDescent="0.25">
      <c r="A6" s="52">
        <f ca="1">PROFILE!D1</f>
        <v>43856</v>
      </c>
      <c r="S6" s="920" t="s">
        <v>69</v>
      </c>
      <c r="T6" s="920" t="s">
        <v>162</v>
      </c>
      <c r="U6" s="925" t="s">
        <v>75</v>
      </c>
      <c r="V6" s="915"/>
      <c r="W6" s="924" t="s">
        <v>70</v>
      </c>
      <c r="X6" s="924"/>
      <c r="Y6" s="929" t="s">
        <v>165</v>
      </c>
      <c r="Z6" s="930"/>
      <c r="AA6" s="930"/>
      <c r="AB6" s="931"/>
      <c r="AC6" s="926" t="s">
        <v>74</v>
      </c>
      <c r="AD6" s="926"/>
      <c r="AE6" s="926"/>
      <c r="AF6" s="926"/>
      <c r="AG6" s="926"/>
      <c r="AH6" s="926"/>
      <c r="AI6" s="936" t="s">
        <v>80</v>
      </c>
      <c r="AJ6" s="936"/>
      <c r="AK6" s="915" t="s">
        <v>79</v>
      </c>
      <c r="AL6" s="921" t="s">
        <v>159</v>
      </c>
      <c r="AM6" s="916" t="s">
        <v>155</v>
      </c>
      <c r="AN6" s="917"/>
      <c r="AO6" s="917"/>
    </row>
    <row r="7" spans="1:46" ht="20.100000000000001" customHeight="1" x14ac:dyDescent="0.25">
      <c r="S7" s="920"/>
      <c r="T7" s="920"/>
      <c r="U7" s="925"/>
      <c r="V7" s="915"/>
      <c r="W7" s="924"/>
      <c r="X7" s="924"/>
      <c r="Y7" s="932">
        <v>1</v>
      </c>
      <c r="Z7" s="932">
        <v>2</v>
      </c>
      <c r="AA7" s="932">
        <v>3</v>
      </c>
      <c r="AB7" s="932">
        <v>4</v>
      </c>
      <c r="AC7" s="927" t="s">
        <v>78</v>
      </c>
      <c r="AD7" s="927"/>
      <c r="AE7" s="934" t="s">
        <v>73</v>
      </c>
      <c r="AF7" s="935"/>
      <c r="AG7" s="928" t="s">
        <v>20</v>
      </c>
      <c r="AH7" s="928"/>
      <c r="AI7" s="937" t="s">
        <v>82</v>
      </c>
      <c r="AJ7" s="938" t="s">
        <v>76</v>
      </c>
      <c r="AK7" s="915"/>
      <c r="AL7" s="922"/>
      <c r="AM7" s="918" t="s">
        <v>265</v>
      </c>
      <c r="AN7" s="919"/>
      <c r="AO7" s="303"/>
    </row>
    <row r="8" spans="1:46" ht="20.100000000000001" customHeight="1" x14ac:dyDescent="0.25">
      <c r="S8" s="920"/>
      <c r="T8" s="920"/>
      <c r="U8" s="33" t="s">
        <v>71</v>
      </c>
      <c r="V8" s="34" t="s">
        <v>72</v>
      </c>
      <c r="W8" s="35" t="s">
        <v>71</v>
      </c>
      <c r="X8" s="35" t="s">
        <v>72</v>
      </c>
      <c r="Y8" s="933"/>
      <c r="Z8" s="933"/>
      <c r="AA8" s="933"/>
      <c r="AB8" s="933"/>
      <c r="AC8" s="38" t="s">
        <v>71</v>
      </c>
      <c r="AD8" s="38" t="s">
        <v>72</v>
      </c>
      <c r="AE8" s="37" t="s">
        <v>71</v>
      </c>
      <c r="AF8" s="37" t="s">
        <v>72</v>
      </c>
      <c r="AG8" s="36" t="s">
        <v>71</v>
      </c>
      <c r="AH8" s="36" t="s">
        <v>72</v>
      </c>
      <c r="AI8" s="937"/>
      <c r="AJ8" s="938"/>
      <c r="AK8" s="915"/>
      <c r="AL8" s="923"/>
      <c r="AM8" s="292" t="s">
        <v>266</v>
      </c>
      <c r="AN8" s="293" t="s">
        <v>267</v>
      </c>
      <c r="AO8" s="293" t="s">
        <v>268</v>
      </c>
    </row>
    <row r="9" spans="1:46" ht="24.95" customHeight="1" x14ac:dyDescent="0.25">
      <c r="A9" s="52">
        <f>PROFILE!D4</f>
        <v>43586</v>
      </c>
      <c r="B9" s="52">
        <f>IF(A9&gt;=$A$5,EDATE(A9,1)-1,0)</f>
        <v>43616</v>
      </c>
      <c r="C9" s="3">
        <f>IF(B9&gt;=$A$5,DAY(B9),0)</f>
        <v>31</v>
      </c>
      <c r="D9" s="3">
        <f>LARGE(AWAKASH!I$10:I$40,1)</f>
        <v>0</v>
      </c>
      <c r="Q9" s="3">
        <f>IF(LEN(PROFILE!L4)&gt;=2,VLOOKUP(PROFILE!L4,PROFILE!$AM$2:$AN$3,2,0),0)</f>
        <v>0</v>
      </c>
      <c r="R9" s="3">
        <f ca="1">IF(S9&gt;=1,MOD(S9,2),0)</f>
        <v>1</v>
      </c>
      <c r="S9" s="20">
        <f ca="1">PROFILE!G4</f>
        <v>1</v>
      </c>
      <c r="T9" s="21" t="str">
        <f>PROFILE!H4</f>
        <v>मई 2019</v>
      </c>
      <c r="U9" s="304">
        <f ca="1">IFERROR(IF($S9&gt;=1,COUNTIF(DALLY!U$14:U$44,"&gt;=1"),0),0)</f>
        <v>0</v>
      </c>
      <c r="V9" s="304">
        <f ca="1">IFERROR(IF($S9&gt;=1,COUNTIF(DALLY!V$14:V$44,"&gt;=1"),0),0)</f>
        <v>0</v>
      </c>
      <c r="W9" s="305">
        <f ca="1">IFERROR(IF($S9&gt;=1,LARGE(DALLY!S$14:S$44,1),0),0)</f>
        <v>0</v>
      </c>
      <c r="X9" s="305">
        <f ca="1">IFERROR(IF($S9&gt;=1,LARGE(DALLY!T$14:T$44,1),0),0)</f>
        <v>0</v>
      </c>
      <c r="Y9" s="243"/>
      <c r="Z9" s="243"/>
      <c r="AA9" s="243"/>
      <c r="AB9" s="243"/>
      <c r="AC9" s="306">
        <f ca="1">IF($S9&gt;=1,SUM(DALLY!U$14:U$44),0)</f>
        <v>0</v>
      </c>
      <c r="AD9" s="306">
        <f ca="1">IF($S9&gt;=1,SUM(DALLY!V$14:V$44),0)</f>
        <v>0</v>
      </c>
      <c r="AE9" s="307">
        <f ca="1">IF($S9&gt;=1,SUM(DALLY!W$14:W$44),0)</f>
        <v>0</v>
      </c>
      <c r="AF9" s="307">
        <f ca="1">IF($S9&gt;=1,SUM(DALLY!X$14:X$44),0)</f>
        <v>0</v>
      </c>
      <c r="AG9" s="308">
        <f>IF($Q9=2,(IF($S9&gt;=1,SUM(DALLY!Y$14:Y$44),0)),0)</f>
        <v>0</v>
      </c>
      <c r="AH9" s="308">
        <f>IF($Q9=2,(IF($S9&gt;=1,SUM(DALLY!Z$14:Z$44),0)),0)</f>
        <v>0</v>
      </c>
      <c r="AI9" s="39"/>
      <c r="AJ9" s="39"/>
      <c r="AK9" s="40">
        <f ca="1">IFERROR(IF($S9&gt;=1,COUNTIF(AP9:AS9,"&gt;=3"),0),0)</f>
        <v>0</v>
      </c>
      <c r="AL9" s="41"/>
      <c r="AM9" s="309">
        <f ca="1">IF(S9&gt;=1,ROUND((SUM(DATA!AH8:AK8)+SUM(DATA!BG8:BL8))/50,0),0)</f>
        <v>0</v>
      </c>
      <c r="AN9" s="42"/>
      <c r="AO9" s="309">
        <f ca="1">AO7+AM9-AN9</f>
        <v>0</v>
      </c>
      <c r="AP9" s="3">
        <f>LEN(Y9)</f>
        <v>0</v>
      </c>
      <c r="AQ9" s="3">
        <f t="shared" ref="AQ9:AS9" si="0">LEN(Z9)</f>
        <v>0</v>
      </c>
      <c r="AR9" s="3">
        <f t="shared" si="0"/>
        <v>0</v>
      </c>
      <c r="AS9" s="3">
        <f t="shared" si="0"/>
        <v>0</v>
      </c>
      <c r="AT9" s="3">
        <f ca="1">IFERROR(IF(S9&gt;=1,LARGE(U9:V9,1),0),0)</f>
        <v>0</v>
      </c>
    </row>
    <row r="10" spans="1:46" ht="24.95" customHeight="1" x14ac:dyDescent="0.25">
      <c r="A10" s="52">
        <f>PROFILE!D5</f>
        <v>43617</v>
      </c>
      <c r="B10" s="52">
        <f t="shared" ref="B10:B20" si="1">IF(A10&gt;=$A$5,EDATE(A10,1)-1,0)</f>
        <v>43646</v>
      </c>
      <c r="C10" s="3">
        <f t="shared" ref="C10:C20" si="2">IF(B10&gt;=$A$5,DAY(B10),0)</f>
        <v>30</v>
      </c>
      <c r="D10" s="3">
        <f>LARGE(AWAKASH!I$10:I$40,1)</f>
        <v>0</v>
      </c>
      <c r="O10" s="3" t="s">
        <v>253</v>
      </c>
      <c r="P10" s="3" t="s">
        <v>263</v>
      </c>
      <c r="Q10" s="3">
        <f>IF(LEN(PROFILE!L5)&gt;=2,VLOOKUP(PROFILE!L5,PROFILE!$AM$2:$AN$3,2,0),0)</f>
        <v>0</v>
      </c>
      <c r="R10" s="3">
        <f t="shared" ref="R10:R20" ca="1" si="3">IF(S10&gt;=1,MOD(S10,2),0)</f>
        <v>0</v>
      </c>
      <c r="S10" s="20">
        <f ca="1">PROFILE!G5</f>
        <v>2</v>
      </c>
      <c r="T10" s="21" t="str">
        <f>PROFILE!H5</f>
        <v>जून 2019</v>
      </c>
      <c r="U10" s="304">
        <f ca="1">IFERROR(IF($S10&gt;=1,COUNTIF(DALLY!AT$14:AT$44,"&gt;=1"),0),0)</f>
        <v>0</v>
      </c>
      <c r="V10" s="304">
        <f ca="1">IFERROR(IF($S10&gt;=1,COUNTIF(DALLY!AU$14:AU$44,"&gt;=1"),0),0)</f>
        <v>0</v>
      </c>
      <c r="W10" s="305">
        <f ca="1">IFERROR(IF($S10&gt;=1,LARGE(DALLY!AR$14:AR$44,1),0),0)</f>
        <v>0</v>
      </c>
      <c r="X10" s="305">
        <f ca="1">IFERROR(IF($S10&gt;=1,LARGE(DALLY!AS$14:AS$44,1),0),0)</f>
        <v>0</v>
      </c>
      <c r="Y10" s="244" t="str">
        <f ca="1">IF($S10&gt;=1,(IF(LEN(Y9)&gt;=2,Y9,"")),"")</f>
        <v/>
      </c>
      <c r="Z10" s="244" t="str">
        <f t="shared" ref="Z10:AB10" ca="1" si="4">IF($S10&gt;=1,(IF(LEN(Z9)&gt;=2,Z9,"")),"")</f>
        <v/>
      </c>
      <c r="AA10" s="244" t="str">
        <f t="shared" ca="1" si="4"/>
        <v/>
      </c>
      <c r="AB10" s="244" t="str">
        <f t="shared" ca="1" si="4"/>
        <v/>
      </c>
      <c r="AC10" s="306">
        <f ca="1">IF($S10&gt;=1,SUM(DALLY!AT$14:AT$44),0)</f>
        <v>0</v>
      </c>
      <c r="AD10" s="306">
        <f ca="1">IF($S10&gt;=1,SUM(DALLY!AU$14:AU$44),0)</f>
        <v>0</v>
      </c>
      <c r="AE10" s="307">
        <f ca="1">IF($S10&gt;=1,SUM(DALLY!AV$14:AV$44),0)</f>
        <v>0</v>
      </c>
      <c r="AF10" s="307">
        <f ca="1">IF($S10&gt;=1,SUM(DALLY!AW$14:AW$44),0)</f>
        <v>0</v>
      </c>
      <c r="AG10" s="308">
        <f>IF($Q10=2,(IF($S10&gt;=1,SUM(DALLY!AX$14:AX$44),0)),0)</f>
        <v>0</v>
      </c>
      <c r="AH10" s="308">
        <f>IF($Q10=2,(IF($S10&gt;=1,SUM(DALLY!AY$14:AY$44),0)),0)</f>
        <v>0</v>
      </c>
      <c r="AI10" s="43"/>
      <c r="AJ10" s="43"/>
      <c r="AK10" s="40">
        <f t="shared" ref="AK10:AK20" ca="1" si="5">IFERROR(IF($S10&gt;=1,COUNTIF(AP10:AS10,"&gt;=3"),0),0)</f>
        <v>0</v>
      </c>
      <c r="AL10" s="41"/>
      <c r="AM10" s="309">
        <f ca="1">IF(S10&gt;=1,ROUND((SUM(DATA!AH9:AK9)+SUM(DATA!BG9:BL9))/50,0),0)</f>
        <v>0</v>
      </c>
      <c r="AN10" s="42"/>
      <c r="AO10" s="309">
        <f ca="1">AO9+AM10-AN10</f>
        <v>0</v>
      </c>
      <c r="AP10" s="3">
        <f t="shared" ref="AP10:AP20" ca="1" si="6">LEN(Y10)</f>
        <v>0</v>
      </c>
      <c r="AQ10" s="3">
        <f t="shared" ref="AQ10:AQ20" ca="1" si="7">LEN(Z10)</f>
        <v>0</v>
      </c>
      <c r="AR10" s="3">
        <f t="shared" ref="AR10:AR20" ca="1" si="8">LEN(AA10)</f>
        <v>0</v>
      </c>
      <c r="AS10" s="3">
        <f t="shared" ref="AS10:AS20" ca="1" si="9">LEN(AB10)</f>
        <v>0</v>
      </c>
      <c r="AT10" s="3">
        <f t="shared" ref="AT10:AT20" ca="1" si="10">IFERROR(IF(S10&gt;=1,LARGE(U10:V10,1),0),0)</f>
        <v>0</v>
      </c>
    </row>
    <row r="11" spans="1:46" ht="24.95" customHeight="1" x14ac:dyDescent="0.25">
      <c r="A11" s="52">
        <f>PROFILE!D6</f>
        <v>43647</v>
      </c>
      <c r="B11" s="52">
        <f t="shared" si="1"/>
        <v>43677</v>
      </c>
      <c r="C11" s="3">
        <f t="shared" si="2"/>
        <v>31</v>
      </c>
      <c r="D11" s="3">
        <f>LARGE(AWAKASH!I$10:I$40,1)</f>
        <v>0</v>
      </c>
      <c r="O11" s="3" t="s">
        <v>254</v>
      </c>
      <c r="P11" s="3" t="s">
        <v>240</v>
      </c>
      <c r="Q11" s="3">
        <f>IF(LEN(PROFILE!L6)&gt;=2,VLOOKUP(PROFILE!L6,PROFILE!$AM$2:$AN$3,2,0),0)</f>
        <v>0</v>
      </c>
      <c r="R11" s="3">
        <f t="shared" ca="1" si="3"/>
        <v>1</v>
      </c>
      <c r="S11" s="20">
        <f ca="1">PROFILE!G6</f>
        <v>3</v>
      </c>
      <c r="T11" s="21" t="str">
        <f>PROFILE!H6</f>
        <v>जुलाई 2019</v>
      </c>
      <c r="U11" s="304">
        <f ca="1">IFERROR(IF($S11&gt;=1,COUNTIF(DALLY!BS$14:BS$44,"&gt;=1"),0),0)</f>
        <v>0</v>
      </c>
      <c r="V11" s="304">
        <f ca="1">IFERROR(IF($S11&gt;=1,COUNTIF(DALLY!BT$14:BT$44,"&gt;=1"),0),0)</f>
        <v>0</v>
      </c>
      <c r="W11" s="305">
        <f ca="1">IFERROR(IF($S11&gt;=1,LARGE(DALLY!BQ$14:BQ$44,1),0),0)</f>
        <v>0</v>
      </c>
      <c r="X11" s="305">
        <f ca="1">IFERROR(IF($S11&gt;=1,LARGE(DALLY!BR$14:BR$44,1),0),0)</f>
        <v>0</v>
      </c>
      <c r="Y11" s="244" t="str">
        <f t="shared" ref="Y11:Y20" ca="1" si="11">IF($S11&gt;=1,(IF(LEN(Y10)&gt;=2,Y10,"")),"")</f>
        <v/>
      </c>
      <c r="Z11" s="244" t="str">
        <f t="shared" ref="Z11:Z20" ca="1" si="12">IF($S11&gt;=1,(IF(LEN(Z10)&gt;=2,Z10,"")),"")</f>
        <v/>
      </c>
      <c r="AA11" s="244" t="str">
        <f t="shared" ref="AA11:AA20" ca="1" si="13">IF($S11&gt;=1,(IF(LEN(AA10)&gt;=2,AA10,"")),"")</f>
        <v/>
      </c>
      <c r="AB11" s="244" t="str">
        <f t="shared" ref="AB11:AB20" ca="1" si="14">IF($S11&gt;=1,(IF(LEN(AB10)&gt;=2,AB10,"")),"")</f>
        <v/>
      </c>
      <c r="AC11" s="306">
        <f ca="1">IF($S11&gt;=1,SUM(DALLY!BS$14:BS$44),0)</f>
        <v>0</v>
      </c>
      <c r="AD11" s="306">
        <f ca="1">IF($S11&gt;=1,SUM(DALLY!BT$14:BT$44),0)</f>
        <v>0</v>
      </c>
      <c r="AE11" s="307">
        <f ca="1">IF($S11&gt;=1,SUM(DALLY!BU$14:BU$44),0)</f>
        <v>0</v>
      </c>
      <c r="AF11" s="307">
        <f ca="1">IF($S11&gt;=1,SUM(DALLY!BV$14:BV$44),0)</f>
        <v>0</v>
      </c>
      <c r="AG11" s="308">
        <f>IF($Q11=2,(IF($S11&gt;=1,SUM(DALLY!BW$14:BW$44),0)),0)</f>
        <v>0</v>
      </c>
      <c r="AH11" s="308">
        <f>IF($Q11=2,(IF($S11&gt;=1,SUM(DALLY!BX$14:BX$44),0)),0)</f>
        <v>0</v>
      </c>
      <c r="AI11" s="43"/>
      <c r="AJ11" s="43"/>
      <c r="AK11" s="40">
        <f t="shared" ca="1" si="5"/>
        <v>0</v>
      </c>
      <c r="AL11" s="41"/>
      <c r="AM11" s="309">
        <f ca="1">IF(S11&gt;=1,ROUND((SUM(DATA!AH10:AK10)+SUM(DATA!BG10:BL10))/50,0),0)</f>
        <v>0</v>
      </c>
      <c r="AN11" s="42"/>
      <c r="AO11" s="309">
        <f t="shared" ref="AO11:AO20" ca="1" si="15">AO10+AM11-AN11</f>
        <v>0</v>
      </c>
      <c r="AP11" s="3">
        <f t="shared" ca="1" si="6"/>
        <v>0</v>
      </c>
      <c r="AQ11" s="3">
        <f t="shared" ca="1" si="7"/>
        <v>0</v>
      </c>
      <c r="AR11" s="3">
        <f t="shared" ca="1" si="8"/>
        <v>0</v>
      </c>
      <c r="AS11" s="3">
        <f t="shared" ca="1" si="9"/>
        <v>0</v>
      </c>
      <c r="AT11" s="3">
        <f t="shared" ca="1" si="10"/>
        <v>0</v>
      </c>
    </row>
    <row r="12" spans="1:46" ht="24.95" customHeight="1" x14ac:dyDescent="0.25">
      <c r="A12" s="52">
        <f>PROFILE!D7</f>
        <v>43678</v>
      </c>
      <c r="B12" s="52">
        <f t="shared" si="1"/>
        <v>43708</v>
      </c>
      <c r="C12" s="3">
        <f t="shared" si="2"/>
        <v>31</v>
      </c>
      <c r="D12" s="3">
        <f>LARGE(AWAKASH!I$10:I$40,1)</f>
        <v>0</v>
      </c>
      <c r="O12" s="3" t="s">
        <v>255</v>
      </c>
      <c r="P12" s="3" t="s">
        <v>264</v>
      </c>
      <c r="Q12" s="3">
        <f>IF(LEN(PROFILE!L7)&gt;=2,VLOOKUP(PROFILE!L7,PROFILE!$AM$2:$AN$3,2,0),0)</f>
        <v>0</v>
      </c>
      <c r="R12" s="3">
        <f t="shared" ca="1" si="3"/>
        <v>0</v>
      </c>
      <c r="S12" s="20">
        <f ca="1">PROFILE!G7</f>
        <v>4</v>
      </c>
      <c r="T12" s="21" t="str">
        <f>PROFILE!H7</f>
        <v>अगस्त 2019</v>
      </c>
      <c r="U12" s="304">
        <f ca="1">IFERROR(IF($S12&gt;=1,COUNTIF(DALLY!CR$14:CR$44,"&gt;=1"),0),0)</f>
        <v>0</v>
      </c>
      <c r="V12" s="304">
        <f ca="1">IFERROR(IF($S12&gt;=1,COUNTIF(DALLY!CS$14:CS$44,"&gt;=1"),0),0)</f>
        <v>0</v>
      </c>
      <c r="W12" s="305">
        <f ca="1">IFERROR(IF($S12&gt;=1,LARGE(DALLY!CP$14:CP$44,1),0),0)</f>
        <v>0</v>
      </c>
      <c r="X12" s="305">
        <f ca="1">IFERROR(IF($S12&gt;=1,LARGE(DALLY!CQ$14:CQ$44,1),0),0)</f>
        <v>0</v>
      </c>
      <c r="Y12" s="244" t="str">
        <f t="shared" ca="1" si="11"/>
        <v/>
      </c>
      <c r="Z12" s="244" t="str">
        <f t="shared" ca="1" si="12"/>
        <v/>
      </c>
      <c r="AA12" s="244" t="str">
        <f t="shared" ca="1" si="13"/>
        <v/>
      </c>
      <c r="AB12" s="244" t="str">
        <f t="shared" ca="1" si="14"/>
        <v/>
      </c>
      <c r="AC12" s="306">
        <f ca="1">IF($S12&gt;=1,SUM(DALLY!CR$14:CR$44),0)</f>
        <v>0</v>
      </c>
      <c r="AD12" s="306">
        <f ca="1">IF($S12&gt;=1,SUM(DALLY!CS$14:CS$44),0)</f>
        <v>0</v>
      </c>
      <c r="AE12" s="307">
        <f ca="1">IF($S12&gt;=1,SUM(DALLY!CT$14:CT$44),0)</f>
        <v>0</v>
      </c>
      <c r="AF12" s="307">
        <f ca="1">IF($S12&gt;=1,SUM(DALLY!CU$14:CU$44),0)</f>
        <v>0</v>
      </c>
      <c r="AG12" s="308">
        <f>IF($Q12=2,(IF($S12&gt;=1,SUM(DALLY!CV$14:CV$44),0)),0)</f>
        <v>0</v>
      </c>
      <c r="AH12" s="308">
        <f>IF($Q12=2,(IF($S12&gt;=1,SUM(DALLY!CW$14:CW$44),0)),0)</f>
        <v>0</v>
      </c>
      <c r="AI12" s="43"/>
      <c r="AJ12" s="43"/>
      <c r="AK12" s="40">
        <f t="shared" ca="1" si="5"/>
        <v>0</v>
      </c>
      <c r="AL12" s="41"/>
      <c r="AM12" s="309">
        <f ca="1">IF(S12&gt;=1,ROUND((SUM(DATA!AH11:AK11)+SUM(DATA!BG11:BL11))/50,0),0)</f>
        <v>0</v>
      </c>
      <c r="AN12" s="42"/>
      <c r="AO12" s="309">
        <f t="shared" ca="1" si="15"/>
        <v>0</v>
      </c>
      <c r="AP12" s="3">
        <f t="shared" ca="1" si="6"/>
        <v>0</v>
      </c>
      <c r="AQ12" s="3">
        <f t="shared" ca="1" si="7"/>
        <v>0</v>
      </c>
      <c r="AR12" s="3">
        <f t="shared" ca="1" si="8"/>
        <v>0</v>
      </c>
      <c r="AS12" s="3">
        <f t="shared" ca="1" si="9"/>
        <v>0</v>
      </c>
      <c r="AT12" s="3">
        <f t="shared" ca="1" si="10"/>
        <v>0</v>
      </c>
    </row>
    <row r="13" spans="1:46" ht="24.95" customHeight="1" x14ac:dyDescent="0.25">
      <c r="A13" s="52">
        <f>PROFILE!D8</f>
        <v>43709</v>
      </c>
      <c r="B13" s="52">
        <f t="shared" si="1"/>
        <v>43738</v>
      </c>
      <c r="C13" s="3">
        <f t="shared" si="2"/>
        <v>30</v>
      </c>
      <c r="D13" s="3">
        <f>LARGE(AWAKASH!I$10:I$40,1)</f>
        <v>0</v>
      </c>
      <c r="O13" s="3" t="s">
        <v>256</v>
      </c>
      <c r="P13" s="3" t="s">
        <v>241</v>
      </c>
      <c r="Q13" s="3">
        <f>IF(LEN(PROFILE!L8)&gt;=2,VLOOKUP(PROFILE!L8,PROFILE!$AM$2:$AN$3,2,0),0)</f>
        <v>0</v>
      </c>
      <c r="R13" s="3">
        <f t="shared" ca="1" si="3"/>
        <v>1</v>
      </c>
      <c r="S13" s="20">
        <f ca="1">PROFILE!G8</f>
        <v>5</v>
      </c>
      <c r="T13" s="21" t="str">
        <f>PROFILE!H8</f>
        <v>सितम्बर 2019</v>
      </c>
      <c r="U13" s="304">
        <f ca="1">IFERROR(IF($S13&gt;=1,COUNTIF(DALLY!DQ$14:DQ$44,"&gt;=1"),0),0)</f>
        <v>0</v>
      </c>
      <c r="V13" s="304">
        <f ca="1">IFERROR(IF($S13&gt;=1,COUNTIF(DALLY!DR$14:DR$44,"&gt;=1"),0),0)</f>
        <v>0</v>
      </c>
      <c r="W13" s="305">
        <f ca="1">IFERROR(IF($S13&gt;=1,LARGE(DALLY!DO$14:DO$44,1),0),0)</f>
        <v>0</v>
      </c>
      <c r="X13" s="305">
        <f ca="1">IFERROR(IF($S13&gt;=1,LARGE(DALLY!DP$14:DP$44,1),0),0)</f>
        <v>0</v>
      </c>
      <c r="Y13" s="244" t="str">
        <f t="shared" ca="1" si="11"/>
        <v/>
      </c>
      <c r="Z13" s="244" t="str">
        <f t="shared" ca="1" si="12"/>
        <v/>
      </c>
      <c r="AA13" s="244" t="str">
        <f t="shared" ca="1" si="13"/>
        <v/>
      </c>
      <c r="AB13" s="244" t="str">
        <f t="shared" ca="1" si="14"/>
        <v/>
      </c>
      <c r="AC13" s="306">
        <f ca="1">IF($S13&gt;=1,SUM(DALLY!DQ$14:DQ$44),0)</f>
        <v>0</v>
      </c>
      <c r="AD13" s="306">
        <f ca="1">IF($S13&gt;=1,SUM(DALLY!DR$14:DR$44),0)</f>
        <v>0</v>
      </c>
      <c r="AE13" s="307">
        <f ca="1">IF($S13&gt;=1,SUM(DALLY!DS$14:DS$44),0)</f>
        <v>0</v>
      </c>
      <c r="AF13" s="307">
        <f ca="1">IF($S13&gt;=1,SUM(DALLY!DT$14:DT$44),0)</f>
        <v>0</v>
      </c>
      <c r="AG13" s="308">
        <f>IF($Q13=2,(IF($S13&gt;=1,SUM(DALLY!DU$14:DU$44),0)),0)</f>
        <v>0</v>
      </c>
      <c r="AH13" s="308">
        <f>IF($Q13=2,(IF($S13&gt;=1,SUM(DALLY!DV$14:DV$44),0)),0)</f>
        <v>0</v>
      </c>
      <c r="AI13" s="43"/>
      <c r="AJ13" s="43"/>
      <c r="AK13" s="40">
        <f t="shared" ca="1" si="5"/>
        <v>0</v>
      </c>
      <c r="AL13" s="41"/>
      <c r="AM13" s="309">
        <f ca="1">IF(S13&gt;=1,ROUND((SUM(DATA!AH12:AK12)+SUM(DATA!BG12:BL12))/50,0),0)</f>
        <v>0</v>
      </c>
      <c r="AN13" s="42"/>
      <c r="AO13" s="309">
        <f t="shared" ca="1" si="15"/>
        <v>0</v>
      </c>
      <c r="AP13" s="3">
        <f t="shared" ca="1" si="6"/>
        <v>0</v>
      </c>
      <c r="AQ13" s="3">
        <f t="shared" ca="1" si="7"/>
        <v>0</v>
      </c>
      <c r="AR13" s="3">
        <f t="shared" ca="1" si="8"/>
        <v>0</v>
      </c>
      <c r="AS13" s="3">
        <f t="shared" ca="1" si="9"/>
        <v>0</v>
      </c>
      <c r="AT13" s="3">
        <f t="shared" ca="1" si="10"/>
        <v>0</v>
      </c>
    </row>
    <row r="14" spans="1:46" ht="24.95" customHeight="1" x14ac:dyDescent="0.25">
      <c r="A14" s="52">
        <f>PROFILE!D9</f>
        <v>43739</v>
      </c>
      <c r="B14" s="52">
        <f t="shared" si="1"/>
        <v>43769</v>
      </c>
      <c r="C14" s="3">
        <f t="shared" si="2"/>
        <v>31</v>
      </c>
      <c r="D14" s="3">
        <f>LARGE(AWAKASH!I$10:I$40,1)</f>
        <v>0</v>
      </c>
      <c r="O14" s="3" t="s">
        <v>257</v>
      </c>
      <c r="P14" s="3" t="s">
        <v>261</v>
      </c>
      <c r="Q14" s="3">
        <f>IF(LEN(PROFILE!L9)&gt;=2,VLOOKUP(PROFILE!L9,PROFILE!$AM$2:$AN$3,2,0),0)</f>
        <v>0</v>
      </c>
      <c r="R14" s="3">
        <f t="shared" ca="1" si="3"/>
        <v>0</v>
      </c>
      <c r="S14" s="20">
        <f ca="1">PROFILE!G9</f>
        <v>6</v>
      </c>
      <c r="T14" s="21" t="str">
        <f>PROFILE!H9</f>
        <v>अक्टूम्बर 2019</v>
      </c>
      <c r="U14" s="304">
        <f ca="1">IFERROR(IF($S14&gt;=1,COUNTIF(DALLY!EP$14:EP$44,"&gt;=1"),0),0)</f>
        <v>0</v>
      </c>
      <c r="V14" s="304">
        <f ca="1">IFERROR(IF($S14&gt;=1,COUNTIF(DALLY!EQ$14:EQ$44,"&gt;=1"),0),0)</f>
        <v>0</v>
      </c>
      <c r="W14" s="305">
        <f ca="1">IFERROR(IF($S14&gt;=1,LARGE(DALLY!EN$14:EN$44,1),0),0)</f>
        <v>0</v>
      </c>
      <c r="X14" s="305">
        <f ca="1">IFERROR(IF($S14&gt;=1,LARGE(DALLY!EO$14:EO$44,1),0),0)</f>
        <v>0</v>
      </c>
      <c r="Y14" s="244" t="str">
        <f t="shared" ca="1" si="11"/>
        <v/>
      </c>
      <c r="Z14" s="244" t="str">
        <f t="shared" ca="1" si="12"/>
        <v/>
      </c>
      <c r="AA14" s="244" t="str">
        <f t="shared" ca="1" si="13"/>
        <v/>
      </c>
      <c r="AB14" s="244" t="str">
        <f t="shared" ca="1" si="14"/>
        <v/>
      </c>
      <c r="AC14" s="306">
        <f ca="1">IF($S14&gt;=1,SUM(DALLY!EP$14:EP$44),0)</f>
        <v>0</v>
      </c>
      <c r="AD14" s="306">
        <f ca="1">IF($S14&gt;=1,SUM(DALLY!EQ$14:EQ$44),0)</f>
        <v>0</v>
      </c>
      <c r="AE14" s="307">
        <f ca="1">IF($S14&gt;=1,SUM(DALLY!ER$14:ER$44),0)</f>
        <v>0</v>
      </c>
      <c r="AF14" s="307">
        <f ca="1">IF($S14&gt;=1,SUM(DALLY!ES$14:ES$44),0)</f>
        <v>0</v>
      </c>
      <c r="AG14" s="308">
        <f>IF($Q14=2,(IF($S14&gt;=1,SUM(DALLY!ET$14:ET$44),0)),0)</f>
        <v>0</v>
      </c>
      <c r="AH14" s="308">
        <f>IF($Q14=2,(IF($S14&gt;=1,SUM(DALLY!EU$14:EU$44),0)),0)</f>
        <v>0</v>
      </c>
      <c r="AI14" s="43"/>
      <c r="AJ14" s="43"/>
      <c r="AK14" s="40">
        <f t="shared" ca="1" si="5"/>
        <v>0</v>
      </c>
      <c r="AL14" s="41"/>
      <c r="AM14" s="309">
        <f ca="1">IF(S14&gt;=1,ROUND((SUM(DATA!AH13:AK13)+SUM(DATA!BG13:BL13))/50,0),0)</f>
        <v>0</v>
      </c>
      <c r="AN14" s="42"/>
      <c r="AO14" s="309">
        <f t="shared" ca="1" si="15"/>
        <v>0</v>
      </c>
      <c r="AP14" s="3">
        <f t="shared" ca="1" si="6"/>
        <v>0</v>
      </c>
      <c r="AQ14" s="3">
        <f t="shared" ca="1" si="7"/>
        <v>0</v>
      </c>
      <c r="AR14" s="3">
        <f t="shared" ca="1" si="8"/>
        <v>0</v>
      </c>
      <c r="AS14" s="3">
        <f t="shared" ca="1" si="9"/>
        <v>0</v>
      </c>
      <c r="AT14" s="3">
        <f t="shared" ca="1" si="10"/>
        <v>0</v>
      </c>
    </row>
    <row r="15" spans="1:46" ht="24.95" customHeight="1" x14ac:dyDescent="0.25">
      <c r="A15" s="52">
        <f>PROFILE!D10</f>
        <v>43770</v>
      </c>
      <c r="B15" s="52">
        <f t="shared" si="1"/>
        <v>43799</v>
      </c>
      <c r="C15" s="3">
        <f t="shared" si="2"/>
        <v>30</v>
      </c>
      <c r="D15" s="3">
        <f>LARGE(AWAKASH!I$10:I$40,1)</f>
        <v>0</v>
      </c>
      <c r="O15" s="3" t="s">
        <v>258</v>
      </c>
      <c r="P15" s="3" t="s">
        <v>262</v>
      </c>
      <c r="Q15" s="3">
        <f>IF(LEN(PROFILE!L10)&gt;=2,VLOOKUP(PROFILE!L10,PROFILE!$AM$2:$AN$3,2,0),0)</f>
        <v>0</v>
      </c>
      <c r="R15" s="3">
        <f t="shared" ca="1" si="3"/>
        <v>1</v>
      </c>
      <c r="S15" s="20">
        <f ca="1">PROFILE!G10</f>
        <v>7</v>
      </c>
      <c r="T15" s="21" t="str">
        <f>PROFILE!H10</f>
        <v>नवम्बर 2019</v>
      </c>
      <c r="U15" s="304">
        <f ca="1">IFERROR(IF($S15&gt;=1,COUNTIF(DALLY!FO$14:FO$44,"&gt;=1"),0),0)</f>
        <v>0</v>
      </c>
      <c r="V15" s="304">
        <f ca="1">IFERROR(IF($S15&gt;=1,COUNTIF(DALLY!FP$14:FP$44,"&gt;=1"),0),0)</f>
        <v>0</v>
      </c>
      <c r="W15" s="305">
        <f ca="1">IFERROR(IF($S15&gt;=1,LARGE(DALLY!FM$14:FM$44,1),0),0)</f>
        <v>0</v>
      </c>
      <c r="X15" s="305">
        <f ca="1">IFERROR(IF($S15&gt;=1,LARGE(DALLY!FN$14:FN$44,1),0),0)</f>
        <v>0</v>
      </c>
      <c r="Y15" s="244" t="str">
        <f t="shared" ca="1" si="11"/>
        <v/>
      </c>
      <c r="Z15" s="244" t="str">
        <f t="shared" ca="1" si="12"/>
        <v/>
      </c>
      <c r="AA15" s="244" t="str">
        <f t="shared" ca="1" si="13"/>
        <v/>
      </c>
      <c r="AB15" s="244" t="str">
        <f t="shared" ca="1" si="14"/>
        <v/>
      </c>
      <c r="AC15" s="306">
        <f ca="1">IF($S15&gt;=1,SUM(DALLY!FO$14:FO$44),0)</f>
        <v>0</v>
      </c>
      <c r="AD15" s="306">
        <f ca="1">IF($S15&gt;=1,SUM(DALLY!FP$14:FP$44),0)</f>
        <v>0</v>
      </c>
      <c r="AE15" s="307">
        <f ca="1">IF($S15&gt;=1,SUM(DALLY!FQ$14:FQ$44),0)</f>
        <v>0</v>
      </c>
      <c r="AF15" s="307">
        <f ca="1">IF($S15&gt;=1,SUM(DALLY!FR$14:FR$44),0)</f>
        <v>0</v>
      </c>
      <c r="AG15" s="308">
        <f>IF($Q15=2,(IF($S15&gt;=1,SUM(DALLY!FS$14:FS$44),0)),0)</f>
        <v>0</v>
      </c>
      <c r="AH15" s="308">
        <f>IF($Q15=2,(IF($S15&gt;=1,SUM(DALLY!FT$14:FT$44),0)),0)</f>
        <v>0</v>
      </c>
      <c r="AI15" s="43"/>
      <c r="AJ15" s="43"/>
      <c r="AK15" s="40">
        <f t="shared" ca="1" si="5"/>
        <v>0</v>
      </c>
      <c r="AL15" s="41"/>
      <c r="AM15" s="309">
        <f ca="1">IF(S15&gt;=1,ROUND((SUM(DATA!AH14:AK14)+SUM(DATA!BG14:BL14))/50,0),0)</f>
        <v>0</v>
      </c>
      <c r="AN15" s="42"/>
      <c r="AO15" s="309">
        <f t="shared" ca="1" si="15"/>
        <v>0</v>
      </c>
      <c r="AP15" s="3">
        <f t="shared" ca="1" si="6"/>
        <v>0</v>
      </c>
      <c r="AQ15" s="3">
        <f t="shared" ca="1" si="7"/>
        <v>0</v>
      </c>
      <c r="AR15" s="3">
        <f t="shared" ca="1" si="8"/>
        <v>0</v>
      </c>
      <c r="AS15" s="3">
        <f t="shared" ca="1" si="9"/>
        <v>0</v>
      </c>
      <c r="AT15" s="3">
        <f t="shared" ca="1" si="10"/>
        <v>0</v>
      </c>
    </row>
    <row r="16" spans="1:46" ht="24.95" customHeight="1" x14ac:dyDescent="0.25">
      <c r="A16" s="52">
        <f>PROFILE!D11</f>
        <v>43800</v>
      </c>
      <c r="B16" s="52">
        <f t="shared" si="1"/>
        <v>43830</v>
      </c>
      <c r="C16" s="3">
        <f t="shared" si="2"/>
        <v>31</v>
      </c>
      <c r="D16" s="3">
        <f>LARGE(AWAKASH!I$10:I$40,1)</f>
        <v>0</v>
      </c>
      <c r="O16" s="3" t="s">
        <v>259</v>
      </c>
      <c r="P16" s="3" t="s">
        <v>260</v>
      </c>
      <c r="Q16" s="3">
        <f>IF(LEN(PROFILE!L11)&gt;=2,VLOOKUP(PROFILE!L11,PROFILE!$AM$2:$AN$3,2,0),0)</f>
        <v>0</v>
      </c>
      <c r="R16" s="3">
        <f t="shared" ca="1" si="3"/>
        <v>0</v>
      </c>
      <c r="S16" s="20">
        <f ca="1">PROFILE!G11</f>
        <v>8</v>
      </c>
      <c r="T16" s="21" t="str">
        <f>PROFILE!H11</f>
        <v>दिसम्बर 2019</v>
      </c>
      <c r="U16" s="304">
        <f ca="1">IFERROR(IF($S16&gt;=1,COUNTIF(DALLY!GN$14:GN$44,"&gt;=1"),0),0)</f>
        <v>0</v>
      </c>
      <c r="V16" s="304">
        <f ca="1">IFERROR(IF($S16&gt;=1,COUNTIF(DALLY!GO$14:GO$44,"&gt;=1"),0),0)</f>
        <v>0</v>
      </c>
      <c r="W16" s="305">
        <f ca="1">IFERROR(IF($S16&gt;=1,LARGE(DALLY!GL$14:GL$44,1),0),0)</f>
        <v>0</v>
      </c>
      <c r="X16" s="305">
        <f ca="1">IFERROR(IF($S16&gt;=1,LARGE(DALLY!GM$14:GM$44,1),0),0)</f>
        <v>0</v>
      </c>
      <c r="Y16" s="244" t="str">
        <f t="shared" ca="1" si="11"/>
        <v/>
      </c>
      <c r="Z16" s="244" t="str">
        <f t="shared" ca="1" si="12"/>
        <v/>
      </c>
      <c r="AA16" s="244" t="str">
        <f t="shared" ca="1" si="13"/>
        <v/>
      </c>
      <c r="AB16" s="244" t="str">
        <f t="shared" ca="1" si="14"/>
        <v/>
      </c>
      <c r="AC16" s="306">
        <f ca="1">IF($S16&gt;=1,SUM(DALLY!GN$14:GN$44),0)</f>
        <v>0</v>
      </c>
      <c r="AD16" s="306">
        <f ca="1">IF($S16&gt;=1,SUM(DALLY!GO$14:GO$44),0)</f>
        <v>0</v>
      </c>
      <c r="AE16" s="307">
        <f ca="1">IF($S16&gt;=1,SUM(DALLY!GP$14:GP$44),0)</f>
        <v>0</v>
      </c>
      <c r="AF16" s="307">
        <f ca="1">IF($S16&gt;=1,SUM(DALLY!GQ$14:GQ$44),0)</f>
        <v>0</v>
      </c>
      <c r="AG16" s="308">
        <f>IF($Q16=2,(IF($S16&gt;=1,SUM(DALLY!GR$14:GR$44),0)),0)</f>
        <v>0</v>
      </c>
      <c r="AH16" s="308">
        <f>IF($Q16=2,(IF($S16&gt;=1,SUM(DALLY!GS$14:GS$44),0)),0)</f>
        <v>0</v>
      </c>
      <c r="AI16" s="43"/>
      <c r="AJ16" s="43"/>
      <c r="AK16" s="40">
        <f t="shared" ca="1" si="5"/>
        <v>0</v>
      </c>
      <c r="AL16" s="41"/>
      <c r="AM16" s="309">
        <f ca="1">IF(S16&gt;=1,ROUND((SUM(DATA!AH15:AK15)+SUM(DATA!BG15:BL15))/50,0),0)</f>
        <v>0</v>
      </c>
      <c r="AN16" s="42"/>
      <c r="AO16" s="309">
        <f t="shared" ca="1" si="15"/>
        <v>0</v>
      </c>
      <c r="AP16" s="3">
        <f t="shared" ca="1" si="6"/>
        <v>0</v>
      </c>
      <c r="AQ16" s="3">
        <f t="shared" ca="1" si="7"/>
        <v>0</v>
      </c>
      <c r="AR16" s="3">
        <f t="shared" ca="1" si="8"/>
        <v>0</v>
      </c>
      <c r="AS16" s="3">
        <f t="shared" ca="1" si="9"/>
        <v>0</v>
      </c>
      <c r="AT16" s="3">
        <f t="shared" ca="1" si="10"/>
        <v>0</v>
      </c>
    </row>
    <row r="17" spans="1:46" ht="24.95" customHeight="1" x14ac:dyDescent="0.25">
      <c r="A17" s="52">
        <f>PROFILE!D12</f>
        <v>43831</v>
      </c>
      <c r="B17" s="52">
        <f t="shared" si="1"/>
        <v>43861</v>
      </c>
      <c r="C17" s="3">
        <f t="shared" si="2"/>
        <v>31</v>
      </c>
      <c r="D17" s="3">
        <f>LARGE(AWAKASH!I$10:I$40,1)</f>
        <v>0</v>
      </c>
      <c r="O17" s="3" t="s">
        <v>260</v>
      </c>
      <c r="P17" s="3" t="s">
        <v>259</v>
      </c>
      <c r="Q17" s="3">
        <f>IF(LEN(PROFILE!L12)&gt;=2,VLOOKUP(PROFILE!L12,PROFILE!$AM$2:$AN$3,2,0),0)</f>
        <v>0</v>
      </c>
      <c r="R17" s="3">
        <f t="shared" ca="1" si="3"/>
        <v>1</v>
      </c>
      <c r="S17" s="20">
        <f ca="1">PROFILE!G12</f>
        <v>9</v>
      </c>
      <c r="T17" s="21" t="str">
        <f>PROFILE!H12</f>
        <v>जनवरी 2020</v>
      </c>
      <c r="U17" s="304">
        <f ca="1">IFERROR(IF($S17&gt;=1,COUNTIF(DALLY!HM$14:HM$44,"&gt;=1"),0),0)</f>
        <v>0</v>
      </c>
      <c r="V17" s="304">
        <f ca="1">IFERROR(IF($S17&gt;=1,COUNTIF(DALLY!HN$14:HN$44,"&gt;=1"),0),0)</f>
        <v>0</v>
      </c>
      <c r="W17" s="305">
        <f ca="1">IFERROR(IF($S17&gt;=1,LARGE(DALLY!HK$14:HK$44,1),0),0)</f>
        <v>0</v>
      </c>
      <c r="X17" s="305">
        <f ca="1">IFERROR(IF($S17&gt;=1,LARGE(DALLY!HL$14:HL$44,1),0),0)</f>
        <v>0</v>
      </c>
      <c r="Y17" s="244" t="str">
        <f t="shared" ca="1" si="11"/>
        <v/>
      </c>
      <c r="Z17" s="244" t="str">
        <f t="shared" ca="1" si="12"/>
        <v/>
      </c>
      <c r="AA17" s="244" t="str">
        <f t="shared" ca="1" si="13"/>
        <v/>
      </c>
      <c r="AB17" s="244" t="str">
        <f t="shared" ca="1" si="14"/>
        <v/>
      </c>
      <c r="AC17" s="306">
        <f ca="1">IF($S17&gt;=1,SUM(DALLY!HM$14:HM$44),0)</f>
        <v>0</v>
      </c>
      <c r="AD17" s="306">
        <f ca="1">IF($S17&gt;=1,SUM(DALLY!HN$14:HN$44),0)</f>
        <v>0</v>
      </c>
      <c r="AE17" s="307">
        <f ca="1">IF($S17&gt;=1,SUM(DALLY!HO$14:HO$44),0)</f>
        <v>0</v>
      </c>
      <c r="AF17" s="307">
        <f ca="1">IF($S17&gt;=1,SUM(DALLY!HP$14:HP$44),0)</f>
        <v>0</v>
      </c>
      <c r="AG17" s="308">
        <f>IF($Q17=2,(IF($S17&gt;=1,SUM(DALLY!HQ$14:HQ$44),0)),0)</f>
        <v>0</v>
      </c>
      <c r="AH17" s="308">
        <f>IF($Q17=2,(IF($S17&gt;=1,SUM(DALLY!HR$14:HR$44),0)),0)</f>
        <v>0</v>
      </c>
      <c r="AI17" s="43"/>
      <c r="AJ17" s="43"/>
      <c r="AK17" s="40">
        <f t="shared" ca="1" si="5"/>
        <v>0</v>
      </c>
      <c r="AL17" s="41"/>
      <c r="AM17" s="309">
        <f ca="1">IF(S17&gt;=1,ROUND((SUM(DATA!AH16:AK16)+SUM(DATA!BG16:BL16))/50,0),0)</f>
        <v>0</v>
      </c>
      <c r="AN17" s="42"/>
      <c r="AO17" s="309">
        <f t="shared" ca="1" si="15"/>
        <v>0</v>
      </c>
      <c r="AP17" s="3">
        <f t="shared" ca="1" si="6"/>
        <v>0</v>
      </c>
      <c r="AQ17" s="3">
        <f t="shared" ca="1" si="7"/>
        <v>0</v>
      </c>
      <c r="AR17" s="3">
        <f t="shared" ca="1" si="8"/>
        <v>0</v>
      </c>
      <c r="AS17" s="3">
        <f t="shared" ca="1" si="9"/>
        <v>0</v>
      </c>
      <c r="AT17" s="3">
        <f t="shared" ca="1" si="10"/>
        <v>0</v>
      </c>
    </row>
    <row r="18" spans="1:46" ht="24.95" customHeight="1" x14ac:dyDescent="0.25">
      <c r="A18" s="52">
        <f>PROFILE!D13</f>
        <v>43862</v>
      </c>
      <c r="B18" s="52">
        <f t="shared" si="1"/>
        <v>43890</v>
      </c>
      <c r="C18" s="3">
        <f t="shared" si="2"/>
        <v>29</v>
      </c>
      <c r="D18" s="3">
        <f>LARGE(AWAKASH!I$10:I$40,1)</f>
        <v>0</v>
      </c>
      <c r="O18" s="3" t="s">
        <v>262</v>
      </c>
      <c r="P18" s="3" t="s">
        <v>258</v>
      </c>
      <c r="Q18" s="3">
        <f>IF(LEN(PROFILE!L13)&gt;=2,VLOOKUP(PROFILE!L13,PROFILE!$AM$2:$AN$3,2,0),0)</f>
        <v>0</v>
      </c>
      <c r="R18" s="3">
        <f t="shared" ca="1" si="3"/>
        <v>0</v>
      </c>
      <c r="S18" s="20">
        <f ca="1">PROFILE!G13</f>
        <v>0</v>
      </c>
      <c r="T18" s="21" t="str">
        <f>PROFILE!H13</f>
        <v>फरवरी 2020</v>
      </c>
      <c r="U18" s="304">
        <f ca="1">IFERROR(IF($S18&gt;=1,COUNTIF(DALLY!IL$14:IL$44,"&gt;=1"),0),0)</f>
        <v>0</v>
      </c>
      <c r="V18" s="304">
        <f ca="1">IFERROR(IF($S18&gt;=1,COUNTIF(DALLY!IM$14:IM$44,"&gt;=1"),0),0)</f>
        <v>0</v>
      </c>
      <c r="W18" s="305">
        <f ca="1">IFERROR(IF($S18&gt;=1,LARGE(DALLY!IJ$14:IJ$44,1),0),0)</f>
        <v>0</v>
      </c>
      <c r="X18" s="305">
        <f ca="1">IFERROR(IF($S18&gt;=1,LARGE(DALLY!IK$14:IK$44,1),0),0)</f>
        <v>0</v>
      </c>
      <c r="Y18" s="244" t="str">
        <f t="shared" ca="1" si="11"/>
        <v/>
      </c>
      <c r="Z18" s="244" t="str">
        <f t="shared" ca="1" si="12"/>
        <v/>
      </c>
      <c r="AA18" s="244" t="str">
        <f t="shared" ca="1" si="13"/>
        <v/>
      </c>
      <c r="AB18" s="244" t="str">
        <f t="shared" ca="1" si="14"/>
        <v/>
      </c>
      <c r="AC18" s="306">
        <f ca="1">IF($S18&gt;=1,SUM(DALLY!IL$14:IL$44),0)</f>
        <v>0</v>
      </c>
      <c r="AD18" s="306">
        <f ca="1">IF($S18&gt;=1,SUM(DALLY!IM$14:IM$44),0)</f>
        <v>0</v>
      </c>
      <c r="AE18" s="307">
        <f ca="1">IF($S18&gt;=1,SUM(DALLY!IN$14:IN$44),0)</f>
        <v>0</v>
      </c>
      <c r="AF18" s="307">
        <f ca="1">IF($S18&gt;=1,SUM(DALLY!IO$14:IO$44),0)</f>
        <v>0</v>
      </c>
      <c r="AG18" s="308">
        <f>IF($Q18=2,(IF($S18&gt;=1,SUM(DALLY!IP$14:IP$44),0)),0)</f>
        <v>0</v>
      </c>
      <c r="AH18" s="308">
        <f>IF($Q18=2,(IF($S18&gt;=1,SUM(DALLY!IQ$14:IQ$44),0)),0)</f>
        <v>0</v>
      </c>
      <c r="AI18" s="43"/>
      <c r="AJ18" s="43"/>
      <c r="AK18" s="40">
        <f t="shared" ca="1" si="5"/>
        <v>0</v>
      </c>
      <c r="AL18" s="41"/>
      <c r="AM18" s="309">
        <f ca="1">IF(S18&gt;=1,ROUND((SUM(DATA!AH17:AK17)+SUM(DATA!BG17:BL17))/50,0),0)</f>
        <v>0</v>
      </c>
      <c r="AN18" s="42"/>
      <c r="AO18" s="309">
        <f t="shared" ca="1" si="15"/>
        <v>0</v>
      </c>
      <c r="AP18" s="3">
        <f t="shared" ca="1" si="6"/>
        <v>0</v>
      </c>
      <c r="AQ18" s="3">
        <f t="shared" ca="1" si="7"/>
        <v>0</v>
      </c>
      <c r="AR18" s="3">
        <f t="shared" ca="1" si="8"/>
        <v>0</v>
      </c>
      <c r="AS18" s="3">
        <f t="shared" ca="1" si="9"/>
        <v>0</v>
      </c>
      <c r="AT18" s="3">
        <f t="shared" ca="1" si="10"/>
        <v>0</v>
      </c>
    </row>
    <row r="19" spans="1:46" ht="24.95" customHeight="1" x14ac:dyDescent="0.25">
      <c r="A19" s="52">
        <f>PROFILE!D14</f>
        <v>43891</v>
      </c>
      <c r="B19" s="52">
        <f t="shared" si="1"/>
        <v>43921</v>
      </c>
      <c r="C19" s="3">
        <f t="shared" si="2"/>
        <v>31</v>
      </c>
      <c r="D19" s="3">
        <f>LARGE(AWAKASH!I$10:I$40,1)</f>
        <v>0</v>
      </c>
      <c r="O19" s="3" t="s">
        <v>261</v>
      </c>
      <c r="P19" s="3" t="s">
        <v>257</v>
      </c>
      <c r="Q19" s="3">
        <f>IF(LEN(PROFILE!L14)&gt;=2,VLOOKUP(PROFILE!L14,PROFILE!$AM$2:$AN$3,2,0),0)</f>
        <v>0</v>
      </c>
      <c r="R19" s="3">
        <f t="shared" ca="1" si="3"/>
        <v>0</v>
      </c>
      <c r="S19" s="20">
        <f ca="1">PROFILE!G14</f>
        <v>0</v>
      </c>
      <c r="T19" s="21" t="str">
        <f>PROFILE!H14</f>
        <v>मार्च 2020</v>
      </c>
      <c r="U19" s="304">
        <f ca="1">IFERROR(IF($S19&gt;=1,COUNTIF(DALLY!JK$14:JK$44,"&gt;=1"),0),0)</f>
        <v>0</v>
      </c>
      <c r="V19" s="304">
        <f ca="1">IFERROR(IF($S19&gt;=1,COUNTIF(DALLY!JL$14:JL$44,"&gt;=1"),0),0)</f>
        <v>0</v>
      </c>
      <c r="W19" s="305">
        <f ca="1">IFERROR(IF($S19&gt;=1,LARGE(DALLY!JI$14:JI$44,1),0),0)</f>
        <v>0</v>
      </c>
      <c r="X19" s="305">
        <f ca="1">IFERROR(IF($S19&gt;=1,LARGE(DALLY!JJ$14:JJ$44,1),0),0)</f>
        <v>0</v>
      </c>
      <c r="Y19" s="244" t="str">
        <f t="shared" ca="1" si="11"/>
        <v/>
      </c>
      <c r="Z19" s="244" t="str">
        <f t="shared" ca="1" si="12"/>
        <v/>
      </c>
      <c r="AA19" s="244" t="str">
        <f t="shared" ca="1" si="13"/>
        <v/>
      </c>
      <c r="AB19" s="244" t="str">
        <f t="shared" ca="1" si="14"/>
        <v/>
      </c>
      <c r="AC19" s="306">
        <f ca="1">IF($S19&gt;=1,SUM(DALLY!JK$14:JK$44),0)</f>
        <v>0</v>
      </c>
      <c r="AD19" s="306">
        <f ca="1">IF($S19&gt;=1,SUM(DALLY!JL$14:JL$44),0)</f>
        <v>0</v>
      </c>
      <c r="AE19" s="307">
        <f ca="1">IF($S19&gt;=1,SUM(DALLY!JM$14:JM$44),0)</f>
        <v>0</v>
      </c>
      <c r="AF19" s="307">
        <f ca="1">IF($S19&gt;=1,SUM(DALLY!JN$14:JN$44),0)</f>
        <v>0</v>
      </c>
      <c r="AG19" s="308">
        <f>IF($Q19=2,(IF($S19&gt;=1,SUM(DALLY!JO$14:JO$44),0)),0)</f>
        <v>0</v>
      </c>
      <c r="AH19" s="308">
        <f>IF($Q19=2,(IF($S19&gt;=1,SUM(DALLY!JP$14:JP$44),0)),0)</f>
        <v>0</v>
      </c>
      <c r="AI19" s="43"/>
      <c r="AJ19" s="43"/>
      <c r="AK19" s="40">
        <f t="shared" ca="1" si="5"/>
        <v>0</v>
      </c>
      <c r="AL19" s="41"/>
      <c r="AM19" s="309">
        <f ca="1">IF(S19&gt;=1,ROUND((SUM(DATA!AH18:AK18)+SUM(DATA!BG18:BL18))/50,0),0)</f>
        <v>0</v>
      </c>
      <c r="AN19" s="42"/>
      <c r="AO19" s="309">
        <f t="shared" ca="1" si="15"/>
        <v>0</v>
      </c>
      <c r="AP19" s="3">
        <f t="shared" ca="1" si="6"/>
        <v>0</v>
      </c>
      <c r="AQ19" s="3">
        <f t="shared" ca="1" si="7"/>
        <v>0</v>
      </c>
      <c r="AR19" s="3">
        <f t="shared" ca="1" si="8"/>
        <v>0</v>
      </c>
      <c r="AS19" s="3">
        <f t="shared" ca="1" si="9"/>
        <v>0</v>
      </c>
      <c r="AT19" s="3">
        <f t="shared" ca="1" si="10"/>
        <v>0</v>
      </c>
    </row>
    <row r="20" spans="1:46" ht="24.95" customHeight="1" x14ac:dyDescent="0.25">
      <c r="A20" s="52">
        <f>PROFILE!D15</f>
        <v>43922</v>
      </c>
      <c r="B20" s="52">
        <f t="shared" si="1"/>
        <v>43951</v>
      </c>
      <c r="C20" s="3">
        <f t="shared" si="2"/>
        <v>30</v>
      </c>
      <c r="D20" s="3">
        <f>LARGE(AWAKASH!I$10:I$40,1)</f>
        <v>0</v>
      </c>
      <c r="O20" s="3" t="s">
        <v>241</v>
      </c>
      <c r="P20" s="3" t="s">
        <v>256</v>
      </c>
      <c r="Q20" s="3">
        <f>IF(LEN(PROFILE!L15)&gt;=2,VLOOKUP(PROFILE!L15,PROFILE!$AM$2:$AN$3,2,0),0)</f>
        <v>0</v>
      </c>
      <c r="R20" s="3">
        <f t="shared" ca="1" si="3"/>
        <v>0</v>
      </c>
      <c r="S20" s="20">
        <f ca="1">PROFILE!G15</f>
        <v>0</v>
      </c>
      <c r="T20" s="21" t="str">
        <f>PROFILE!H15</f>
        <v>अप्रैल 2020</v>
      </c>
      <c r="U20" s="304">
        <f ca="1">IFERROR(IF($S20&gt;=1,COUNTIF(DALLY!KJ$14:KJ$44,"&gt;=1"),0),0)</f>
        <v>0</v>
      </c>
      <c r="V20" s="304">
        <f ca="1">IFERROR(IF($S20&gt;=1,COUNTIF(DALLY!KK$14:KK$44,"&gt;=1"),0),0)</f>
        <v>0</v>
      </c>
      <c r="W20" s="305">
        <f ca="1">IFERROR(IF($S20&gt;=1,LARGE(DALLY!KH$14:KH$44,1),0),0)</f>
        <v>0</v>
      </c>
      <c r="X20" s="305">
        <f ca="1">IFERROR(IF($S20&gt;=1,LARGE(DALLY!KI$14:KI$44,1),0),0)</f>
        <v>0</v>
      </c>
      <c r="Y20" s="244" t="str">
        <f t="shared" ca="1" si="11"/>
        <v/>
      </c>
      <c r="Z20" s="244" t="str">
        <f t="shared" ca="1" si="12"/>
        <v/>
      </c>
      <c r="AA20" s="244" t="str">
        <f t="shared" ca="1" si="13"/>
        <v/>
      </c>
      <c r="AB20" s="244" t="str">
        <f t="shared" ca="1" si="14"/>
        <v/>
      </c>
      <c r="AC20" s="306">
        <f ca="1">IF($S20&gt;=1,SUM(DALLY!KJ$14:KJ$44),0)</f>
        <v>0</v>
      </c>
      <c r="AD20" s="306">
        <f ca="1">IF($S20&gt;=1,SUM(DALLY!KK$14:KK$44),0)</f>
        <v>0</v>
      </c>
      <c r="AE20" s="307">
        <f ca="1">IF($S20&gt;=1,SUM(DALLY!KL$14:KL$44),0)</f>
        <v>0</v>
      </c>
      <c r="AF20" s="307">
        <f ca="1">IF($S20&gt;=1,SUM(DALLY!KM$14:KM$44),0)</f>
        <v>0</v>
      </c>
      <c r="AG20" s="308">
        <f>IF($Q20=2,(IF($S20&gt;=1,SUM(DALLY!KN$14:KN$44),0)),0)</f>
        <v>0</v>
      </c>
      <c r="AH20" s="308">
        <f>IF($Q20=2,(IF($S20&gt;=1,SUM(DALLY!KO$14:KO$44),0)),0)</f>
        <v>0</v>
      </c>
      <c r="AI20" s="43"/>
      <c r="AJ20" s="43"/>
      <c r="AK20" s="40">
        <f t="shared" ca="1" si="5"/>
        <v>0</v>
      </c>
      <c r="AL20" s="41"/>
      <c r="AM20" s="309">
        <f ca="1">IF(S20&gt;=1,ROUND((SUM(DATA!AH19:AK19)+SUM(DATA!BG19:BL19))/50,0),0)</f>
        <v>0</v>
      </c>
      <c r="AN20" s="42"/>
      <c r="AO20" s="309">
        <f t="shared" ca="1" si="15"/>
        <v>0</v>
      </c>
      <c r="AP20" s="3">
        <f t="shared" ca="1" si="6"/>
        <v>0</v>
      </c>
      <c r="AQ20" s="3">
        <f t="shared" ca="1" si="7"/>
        <v>0</v>
      </c>
      <c r="AR20" s="3">
        <f t="shared" ca="1" si="8"/>
        <v>0</v>
      </c>
      <c r="AS20" s="3">
        <f t="shared" ca="1" si="9"/>
        <v>0</v>
      </c>
      <c r="AT20" s="3">
        <f t="shared" ca="1" si="10"/>
        <v>0</v>
      </c>
    </row>
    <row r="21" spans="1:46" ht="20.100000000000001" customHeight="1" x14ac:dyDescent="0.25"/>
    <row r="22" spans="1:46" ht="20.100000000000001" customHeight="1" x14ac:dyDescent="0.25"/>
    <row r="23" spans="1:46" ht="20.100000000000001" customHeight="1" x14ac:dyDescent="0.25"/>
    <row r="24" spans="1:46" ht="20.100000000000001" customHeight="1" x14ac:dyDescent="0.25"/>
    <row r="25" spans="1:46" ht="20.100000000000001" customHeight="1" x14ac:dyDescent="0.25"/>
    <row r="26" spans="1:46" ht="20.100000000000001" customHeight="1" x14ac:dyDescent="0.25"/>
    <row r="27" spans="1:46" ht="20.100000000000001" customHeight="1" x14ac:dyDescent="0.25"/>
    <row r="28" spans="1:46" ht="20.100000000000001" customHeight="1" x14ac:dyDescent="0.25"/>
    <row r="29" spans="1:46" ht="20.100000000000001" customHeight="1" x14ac:dyDescent="0.25"/>
    <row r="30" spans="1:46" ht="20.100000000000001" customHeight="1" x14ac:dyDescent="0.25"/>
    <row r="31" spans="1:46" ht="20.100000000000001" customHeight="1" x14ac:dyDescent="0.25"/>
    <row r="32" spans="1:46" ht="20.100000000000001" customHeight="1" x14ac:dyDescent="0.25"/>
    <row r="33" ht="20.100000000000001" customHeight="1" x14ac:dyDescent="0.25"/>
  </sheetData>
  <sheetProtection password="F872" sheet="1" objects="1" scenarios="1"/>
  <mergeCells count="20">
    <mergeCell ref="AE7:AF7"/>
    <mergeCell ref="AI6:AJ6"/>
    <mergeCell ref="AI7:AI8"/>
    <mergeCell ref="AJ7:AJ8"/>
    <mergeCell ref="AK6:AK8"/>
    <mergeCell ref="AM6:AO6"/>
    <mergeCell ref="AM7:AN7"/>
    <mergeCell ref="T6:T8"/>
    <mergeCell ref="S6:S8"/>
    <mergeCell ref="AL6:AL8"/>
    <mergeCell ref="W6:X7"/>
    <mergeCell ref="U6:V7"/>
    <mergeCell ref="AC6:AH6"/>
    <mergeCell ref="AC7:AD7"/>
    <mergeCell ref="AG7:AH7"/>
    <mergeCell ref="Y6:AB6"/>
    <mergeCell ref="Y7:Y8"/>
    <mergeCell ref="Z7:Z8"/>
    <mergeCell ref="AA7:AA8"/>
    <mergeCell ref="AB7:AB8"/>
  </mergeCells>
  <conditionalFormatting sqref="S9:AO20">
    <cfRule type="expression" dxfId="146" priority="1">
      <formula>$A$6&lt;=$A9</formula>
    </cfRule>
  </conditionalFormatting>
  <conditionalFormatting sqref="U9:AO20">
    <cfRule type="cellIs" dxfId="145" priority="6" operator="equal">
      <formula>0</formula>
    </cfRule>
    <cfRule type="expression" dxfId="144" priority="7">
      <formula>$R9=1</formula>
    </cfRule>
    <cfRule type="expression" dxfId="143" priority="8">
      <formula>$R9=0</formula>
    </cfRule>
  </conditionalFormatting>
  <dataValidations count="1">
    <dataValidation type="list" allowBlank="1" showInputMessage="1" showErrorMessage="1" sqref="Y9:AB20" xr:uid="{00000000-0002-0000-0600-000000000000}">
      <formula1>CCH</formula1>
    </dataValidation>
  </dataValidations>
  <pageMargins left="0" right="0" top="0" bottom="0" header="0" footer="0"/>
  <pageSetup paperSize="9" scale="51" orientation="landscape" verticalDpi="300" r:id="rId1"/>
  <colBreaks count="1" manualBreakCount="1">
    <brk id="17" max="19"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8" tint="-0.499984740745262"/>
  </sheetPr>
  <dimension ref="A1:IC32"/>
  <sheetViews>
    <sheetView view="pageBreakPreview" topLeftCell="T5" zoomScaleSheetLayoutView="100" workbookViewId="0">
      <pane xSplit="2" ySplit="3" topLeftCell="AO8" activePane="bottomRight" state="frozen"/>
      <selection activeCell="T5" sqref="T5"/>
      <selection pane="topRight" activeCell="V5" sqref="V5"/>
      <selection pane="bottomLeft" activeCell="T8" sqref="T8"/>
      <selection pane="bottomRight" activeCell="AS11" sqref="AS11"/>
    </sheetView>
  </sheetViews>
  <sheetFormatPr defaultRowHeight="15" x14ac:dyDescent="0.25"/>
  <cols>
    <col min="1" max="19" width="9.140625" style="3" hidden="1" customWidth="1"/>
    <col min="20" max="20" width="4.7109375" style="3" customWidth="1"/>
    <col min="21" max="21" width="20" style="3" customWidth="1"/>
    <col min="22" max="77" width="15.7109375" style="3" customWidth="1"/>
    <col min="78" max="174" width="10.7109375" style="3" customWidth="1"/>
    <col min="175" max="175" width="8.7109375" style="3" customWidth="1"/>
    <col min="176" max="225" width="9.140625" style="3" customWidth="1"/>
    <col min="226" max="226" width="10.7109375" style="3" customWidth="1"/>
    <col min="227" max="227" width="9.140625" style="3" customWidth="1"/>
    <col min="228" max="228" width="10.7109375" style="3" customWidth="1"/>
    <col min="229" max="229" width="9.140625" style="3" customWidth="1"/>
    <col min="230" max="16384" width="9.140625" style="3"/>
  </cols>
  <sheetData>
    <row r="1" spans="1:237" hidden="1" x14ac:dyDescent="0.25"/>
    <row r="2" spans="1:237" hidden="1" x14ac:dyDescent="0.25"/>
    <row r="3" spans="1:237" hidden="1" x14ac:dyDescent="0.25">
      <c r="U3" s="3">
        <v>38</v>
      </c>
    </row>
    <row r="4" spans="1:237" hidden="1" x14ac:dyDescent="0.25">
      <c r="A4" s="52">
        <f ca="1">PROFILE!D1</f>
        <v>43856</v>
      </c>
      <c r="U4" s="3">
        <v>37</v>
      </c>
      <c r="V4" s="3">
        <v>14</v>
      </c>
      <c r="W4" s="3">
        <v>16</v>
      </c>
      <c r="X4" s="3">
        <v>15</v>
      </c>
      <c r="Y4" s="3">
        <v>17</v>
      </c>
      <c r="Z4" s="3">
        <v>14</v>
      </c>
      <c r="AA4" s="3">
        <v>16</v>
      </c>
      <c r="AB4" s="3">
        <v>15</v>
      </c>
      <c r="AC4" s="3">
        <v>17</v>
      </c>
      <c r="AD4" s="3">
        <v>7</v>
      </c>
      <c r="AE4" s="3">
        <v>7</v>
      </c>
      <c r="AF4" s="3">
        <v>8</v>
      </c>
      <c r="AG4" s="3">
        <v>8</v>
      </c>
      <c r="AH4" s="3">
        <v>9</v>
      </c>
      <c r="AI4" s="3">
        <v>10</v>
      </c>
      <c r="AU4" s="3">
        <v>18</v>
      </c>
      <c r="AV4" s="3">
        <v>19</v>
      </c>
      <c r="AW4" s="3">
        <v>20</v>
      </c>
      <c r="AX4" s="3">
        <v>21</v>
      </c>
      <c r="AY4" s="3">
        <v>22</v>
      </c>
      <c r="AZ4" s="3">
        <v>23</v>
      </c>
      <c r="BA4" s="3">
        <v>18</v>
      </c>
      <c r="BB4" s="3">
        <v>19</v>
      </c>
      <c r="BC4" s="3">
        <v>20</v>
      </c>
      <c r="BD4" s="3">
        <v>21</v>
      </c>
      <c r="BE4" s="3">
        <v>22</v>
      </c>
      <c r="BF4" s="3">
        <v>23</v>
      </c>
      <c r="BG4" s="3">
        <v>11</v>
      </c>
      <c r="BH4" s="3">
        <v>11</v>
      </c>
      <c r="BI4" s="3">
        <v>11</v>
      </c>
      <c r="BJ4" s="3">
        <v>12</v>
      </c>
      <c r="BK4" s="3">
        <v>12</v>
      </c>
      <c r="BL4" s="3">
        <v>12</v>
      </c>
    </row>
    <row r="5" spans="1:237" ht="42" customHeight="1" x14ac:dyDescent="0.25">
      <c r="T5" s="920" t="s">
        <v>40</v>
      </c>
      <c r="U5" s="920" t="s">
        <v>172</v>
      </c>
      <c r="V5" s="942" t="s">
        <v>170</v>
      </c>
      <c r="W5" s="942"/>
      <c r="X5" s="942"/>
      <c r="Y5" s="942"/>
      <c r="Z5" s="943" t="s">
        <v>169</v>
      </c>
      <c r="AA5" s="943"/>
      <c r="AB5" s="943"/>
      <c r="AC5" s="943"/>
      <c r="AD5" s="944" t="s">
        <v>167</v>
      </c>
      <c r="AE5" s="944"/>
      <c r="AF5" s="944"/>
      <c r="AG5" s="944"/>
      <c r="AH5" s="945" t="s">
        <v>168</v>
      </c>
      <c r="AI5" s="945"/>
      <c r="AJ5" s="945"/>
      <c r="AK5" s="945"/>
      <c r="AL5" s="939" t="s">
        <v>166</v>
      </c>
      <c r="AM5" s="939"/>
      <c r="AN5" s="939"/>
      <c r="AO5" s="947" t="s">
        <v>173</v>
      </c>
      <c r="AP5" s="947"/>
      <c r="AQ5" s="947"/>
      <c r="AR5" s="947"/>
      <c r="AS5" s="947"/>
      <c r="AT5" s="947"/>
      <c r="AU5" s="940" t="s">
        <v>176</v>
      </c>
      <c r="AV5" s="940"/>
      <c r="AW5" s="940"/>
      <c r="AX5" s="940"/>
      <c r="AY5" s="940"/>
      <c r="AZ5" s="940"/>
      <c r="BA5" s="944" t="s">
        <v>174</v>
      </c>
      <c r="BB5" s="944"/>
      <c r="BC5" s="944"/>
      <c r="BD5" s="944"/>
      <c r="BE5" s="944"/>
      <c r="BF5" s="944"/>
      <c r="BG5" s="954" t="s">
        <v>175</v>
      </c>
      <c r="BH5" s="954"/>
      <c r="BI5" s="954"/>
      <c r="BJ5" s="954"/>
      <c r="BK5" s="954"/>
      <c r="BL5" s="954"/>
      <c r="HX5" s="431"/>
      <c r="HY5" s="431"/>
      <c r="HZ5" s="431"/>
      <c r="IA5" s="431"/>
      <c r="IB5" s="431"/>
      <c r="IC5" s="431"/>
    </row>
    <row r="6" spans="1:237" ht="18.75" customHeight="1" x14ac:dyDescent="0.25">
      <c r="T6" s="920"/>
      <c r="U6" s="920"/>
      <c r="V6" s="955" t="s">
        <v>71</v>
      </c>
      <c r="W6" s="955"/>
      <c r="X6" s="955" t="s">
        <v>72</v>
      </c>
      <c r="Y6" s="955"/>
      <c r="Z6" s="946" t="s">
        <v>71</v>
      </c>
      <c r="AA6" s="946"/>
      <c r="AB6" s="946" t="s">
        <v>72</v>
      </c>
      <c r="AC6" s="946"/>
      <c r="AD6" s="948" t="s">
        <v>71</v>
      </c>
      <c r="AE6" s="948"/>
      <c r="AF6" s="948" t="s">
        <v>72</v>
      </c>
      <c r="AG6" s="948"/>
      <c r="AH6" s="941" t="s">
        <v>71</v>
      </c>
      <c r="AI6" s="941"/>
      <c r="AJ6" s="941" t="s">
        <v>72</v>
      </c>
      <c r="AK6" s="941"/>
      <c r="AL6" s="949" t="s">
        <v>71</v>
      </c>
      <c r="AM6" s="949" t="s">
        <v>72</v>
      </c>
      <c r="AN6" s="951" t="s">
        <v>1</v>
      </c>
      <c r="AO6" s="942" t="s">
        <v>156</v>
      </c>
      <c r="AP6" s="942"/>
      <c r="AQ6" s="942"/>
      <c r="AR6" s="942" t="s">
        <v>157</v>
      </c>
      <c r="AS6" s="942"/>
      <c r="AT6" s="942"/>
      <c r="AU6" s="943" t="s">
        <v>156</v>
      </c>
      <c r="AV6" s="943"/>
      <c r="AW6" s="943"/>
      <c r="AX6" s="943" t="s">
        <v>157</v>
      </c>
      <c r="AY6" s="943"/>
      <c r="AZ6" s="943"/>
      <c r="BA6" s="944" t="s">
        <v>156</v>
      </c>
      <c r="BB6" s="944"/>
      <c r="BC6" s="944"/>
      <c r="BD6" s="944" t="s">
        <v>157</v>
      </c>
      <c r="BE6" s="944"/>
      <c r="BF6" s="944"/>
      <c r="BG6" s="945" t="s">
        <v>156</v>
      </c>
      <c r="BH6" s="945"/>
      <c r="BI6" s="945"/>
      <c r="BJ6" s="945" t="s">
        <v>157</v>
      </c>
      <c r="BK6" s="945"/>
      <c r="BL6" s="945"/>
      <c r="HX6" s="15"/>
      <c r="HY6" s="15"/>
      <c r="HZ6" s="15"/>
      <c r="IA6" s="15"/>
      <c r="IB6" s="15"/>
      <c r="IC6" s="15"/>
    </row>
    <row r="7" spans="1:237" ht="24" customHeight="1" x14ac:dyDescent="0.25">
      <c r="B7" s="3">
        <v>7</v>
      </c>
      <c r="C7" s="3">
        <v>8</v>
      </c>
      <c r="D7" s="3">
        <v>13</v>
      </c>
      <c r="E7" s="3">
        <v>14</v>
      </c>
      <c r="F7" s="3">
        <v>15</v>
      </c>
      <c r="G7" s="3">
        <v>16</v>
      </c>
      <c r="H7" s="3">
        <v>17</v>
      </c>
      <c r="I7" s="3">
        <v>18</v>
      </c>
      <c r="J7" s="408">
        <v>9</v>
      </c>
      <c r="K7" s="408">
        <v>10</v>
      </c>
      <c r="L7" s="3">
        <v>11</v>
      </c>
      <c r="M7" s="3">
        <v>12</v>
      </c>
      <c r="N7" s="3">
        <v>21</v>
      </c>
      <c r="O7" s="3">
        <v>22</v>
      </c>
      <c r="P7" s="3">
        <v>23</v>
      </c>
      <c r="T7" s="920"/>
      <c r="U7" s="920"/>
      <c r="V7" s="29" t="s">
        <v>5</v>
      </c>
      <c r="W7" s="29" t="s">
        <v>6</v>
      </c>
      <c r="X7" s="29" t="s">
        <v>5</v>
      </c>
      <c r="Y7" s="29" t="s">
        <v>6</v>
      </c>
      <c r="Z7" s="26" t="s">
        <v>5</v>
      </c>
      <c r="AA7" s="26" t="s">
        <v>6</v>
      </c>
      <c r="AB7" s="26" t="s">
        <v>5</v>
      </c>
      <c r="AC7" s="26" t="s">
        <v>6</v>
      </c>
      <c r="AD7" s="27" t="s">
        <v>5</v>
      </c>
      <c r="AE7" s="27" t="s">
        <v>6</v>
      </c>
      <c r="AF7" s="27" t="s">
        <v>5</v>
      </c>
      <c r="AG7" s="27" t="s">
        <v>6</v>
      </c>
      <c r="AH7" s="28" t="s">
        <v>5</v>
      </c>
      <c r="AI7" s="28" t="s">
        <v>6</v>
      </c>
      <c r="AJ7" s="28" t="s">
        <v>5</v>
      </c>
      <c r="AK7" s="28" t="s">
        <v>6</v>
      </c>
      <c r="AL7" s="950"/>
      <c r="AM7" s="950"/>
      <c r="AN7" s="952"/>
      <c r="AO7" s="29" t="s">
        <v>7</v>
      </c>
      <c r="AP7" s="29" t="s">
        <v>8</v>
      </c>
      <c r="AQ7" s="29" t="s">
        <v>9</v>
      </c>
      <c r="AR7" s="29" t="s">
        <v>7</v>
      </c>
      <c r="AS7" s="29" t="s">
        <v>8</v>
      </c>
      <c r="AT7" s="29" t="s">
        <v>9</v>
      </c>
      <c r="AU7" s="26" t="s">
        <v>7</v>
      </c>
      <c r="AV7" s="26" t="s">
        <v>8</v>
      </c>
      <c r="AW7" s="26" t="s">
        <v>9</v>
      </c>
      <c r="AX7" s="26" t="s">
        <v>7</v>
      </c>
      <c r="AY7" s="26" t="s">
        <v>8</v>
      </c>
      <c r="AZ7" s="26" t="s">
        <v>9</v>
      </c>
      <c r="BA7" s="27" t="s">
        <v>7</v>
      </c>
      <c r="BB7" s="27" t="s">
        <v>8</v>
      </c>
      <c r="BC7" s="27" t="s">
        <v>9</v>
      </c>
      <c r="BD7" s="27" t="s">
        <v>7</v>
      </c>
      <c r="BE7" s="27" t="s">
        <v>8</v>
      </c>
      <c r="BF7" s="27" t="s">
        <v>9</v>
      </c>
      <c r="BG7" s="28" t="s">
        <v>7</v>
      </c>
      <c r="BH7" s="28" t="s">
        <v>8</v>
      </c>
      <c r="BI7" s="28" t="s">
        <v>9</v>
      </c>
      <c r="BJ7" s="28" t="s">
        <v>7</v>
      </c>
      <c r="BK7" s="28" t="s">
        <v>8</v>
      </c>
      <c r="BL7" s="28" t="s">
        <v>9</v>
      </c>
    </row>
    <row r="8" spans="1:237" ht="24.95" customHeight="1" x14ac:dyDescent="0.25">
      <c r="A8" s="52">
        <f>PROFILE!D4</f>
        <v>43586</v>
      </c>
      <c r="B8" s="3">
        <f ca="1">IFERROR(IF($T8&gt;=1,VLOOKUP($U8,HOME!$D$7:$AA$18,B$7,0),0),0)</f>
        <v>100</v>
      </c>
      <c r="C8" s="3">
        <f ca="1">IFERROR(IF($T8&gt;=1,VLOOKUP($U8,HOME!$D$7:$AA$18,C$7,0),0),0)</f>
        <v>150</v>
      </c>
      <c r="D8" s="3">
        <f ca="1">IFERROR(IF($T8&gt;=1,VLOOKUP($U8,HOME!$D$7:$AA$18,D$7,0),0),0)</f>
        <v>6</v>
      </c>
      <c r="E8" s="3">
        <f ca="1">IFERROR(IF($T8&gt;=1,VLOOKUP($U8,HOME!$D$7:$AA$18,E$7,0),0),0)</f>
        <v>7</v>
      </c>
      <c r="F8" s="3">
        <f ca="1">IFERROR(IF($T8&gt;=1,VLOOKUP($U8,HOME!$D$7:$AA$18,F$7,0),0),0)</f>
        <v>7</v>
      </c>
      <c r="G8" s="3">
        <f ca="1">IFERROR(IF($T8&gt;=1,VLOOKUP($U8,HOME!$D$7:$AA$18,G$7,0),0),0)</f>
        <v>20</v>
      </c>
      <c r="H8" s="3">
        <f ca="1">IFERROR(IF($T8&gt;=1,VLOOKUP($U8,HOME!$D$7:$AA$18,H$7,0),0),0)</f>
        <v>10</v>
      </c>
      <c r="I8" s="3">
        <f ca="1">IFERROR(IF($T8&gt;=1,VLOOKUP($U8,HOME!$D$7:$AA$18,I$7,0),0),0)</f>
        <v>10</v>
      </c>
      <c r="J8" s="408">
        <f ca="1">IFERROR(IF($T8&gt;=1,VLOOKUP($U8,HOME!$D$7:$AA$18,J$7,0),0),0)</f>
        <v>4.3499999999999996</v>
      </c>
      <c r="K8" s="408">
        <f ca="1">IFERROR(IF($T8&gt;=1,VLOOKUP($U8,HOME!$D$7:$AA$18,K$7,0),0),0)</f>
        <v>6.51</v>
      </c>
      <c r="L8" s="3">
        <f ca="1">IFERROR(IF($T8&gt;=1,VLOOKUP($U8,HOME!$D$7:$AA$18,L$7,0),0),0)</f>
        <v>3.08</v>
      </c>
      <c r="M8" s="3">
        <f ca="1">IFERROR(IF($T8&gt;=1,VLOOKUP($U8,HOME!$D$7:$AA$18,M$7,0),0),0)</f>
        <v>4.5999999999999996</v>
      </c>
      <c r="N8" s="408">
        <f ca="1">IFERROR(IF($T8&gt;=1,VLOOKUP($U8,HOME!$D$7:$AA$18,N$7,0),0),0)</f>
        <v>200</v>
      </c>
      <c r="O8" s="408">
        <f ca="1">IFERROR(IF($T8&gt;=1,VLOOKUP($U8,HOME!$D$7:$AA$18,O$7,0),0),0)</f>
        <v>250</v>
      </c>
      <c r="P8" s="408">
        <f ca="1">IFERROR(IF($T8&gt;=1,VLOOKUP($U8,HOME!$D$7:$AA$18,P$7,0),0),0)</f>
        <v>35</v>
      </c>
      <c r="Q8" s="3">
        <f>IF(LEN(PROFILE!L4)&gt;=2,VLOOKUP(PROFILE!L4,PROFILE!$AM$2:$AN$3,2,0),0)</f>
        <v>0</v>
      </c>
      <c r="S8" s="3">
        <f ca="1">IF(T8&gt;=1,MOD(T8,2),0)</f>
        <v>1</v>
      </c>
      <c r="T8" s="18">
        <f ca="1">IF($A$4&gt;=A8,PROFILE!G4,0)</f>
        <v>1</v>
      </c>
      <c r="U8" s="19" t="str">
        <f>PROFILE!H4</f>
        <v>मई 2019</v>
      </c>
      <c r="V8" s="30"/>
      <c r="W8" s="31"/>
      <c r="X8" s="32"/>
      <c r="Y8" s="32"/>
      <c r="Z8" s="497">
        <f ca="1">IFERROR(IF($T8&gt;=1,INDEX(DALLY!$N$10:$KZ$47,$U$4,MATCH($U8,DALLY!$N$10:$KZ$10,0)+V$4),0),0)</f>
        <v>0</v>
      </c>
      <c r="AA8" s="497">
        <f ca="1">IFERROR(IF($T8&gt;=1,INDEX(DALLY!$N$10:$KZ$47,$U$4,MATCH($U8,DALLY!$N$10:$KZ$10,0)+W$4),0),0)</f>
        <v>0</v>
      </c>
      <c r="AB8" s="497">
        <f ca="1">IFERROR(IF($T8&gt;=1,INDEX(DALLY!$N$10:$KZ$47,$U$4,MATCH($U8,DALLY!$N$10:$KZ$10,0)+X$4),0),0)</f>
        <v>0</v>
      </c>
      <c r="AC8" s="497">
        <f ca="1">IFERROR(IF($T8&gt;=1,INDEX(DALLY!$N$10:$KZ$47,$U$4,MATCH($U8,DALLY!$N$10:$KZ$10,0)+Y$4),0),0)</f>
        <v>0</v>
      </c>
      <c r="AD8" s="498">
        <f ca="1">IFERROR(IF($T8&gt;=1,INDEX(DALLY!$N$10:$KZ$47,$U$3,MATCH($U8,DALLY!$N$10:$KZ$10,0)+Z$4),0),0)</f>
        <v>0</v>
      </c>
      <c r="AE8" s="498">
        <f ca="1">IFERROR(IF($T8&gt;=1,INDEX(DALLY!$N$10:$KZ$47,$U$3,MATCH($U8,DALLY!$N$10:$KZ$10,0)+AA$4),0),0)</f>
        <v>0</v>
      </c>
      <c r="AF8" s="498">
        <f ca="1">IFERROR(IF($T8&gt;=1,INDEX(DALLY!$N$10:$KZ$47,$U$3,MATCH($U8,DALLY!$N$10:$KZ$10,0)+AB$4),0),0)</f>
        <v>0</v>
      </c>
      <c r="AG8" s="498">
        <f ca="1">IFERROR(IF($T8&gt;=1,INDEX(DALLY!$N$10:$KZ$47,$U$3,MATCH($U8,DALLY!$N$10:$KZ$10,0)+AC$4),0),0)</f>
        <v>0</v>
      </c>
      <c r="AH8" s="499">
        <f ca="1">IFERROR(IF($T8&gt;=1,INDEX(DALLY!$N$10:$KZ$47,$U$4,MATCH($U8,DALLY!$N$10:$KZ$10,0)+AD$4)*B8/1000,0),0)</f>
        <v>0</v>
      </c>
      <c r="AI8" s="499">
        <f ca="1">IFERROR(IF($T8&gt;=1,INDEX(DALLY!$N$10:$KZ$47,$U$3,MATCH($U8,DALLY!$N$10:$KZ$10,0)+AE$4)*B8/1000,0),0)</f>
        <v>0</v>
      </c>
      <c r="AJ8" s="499">
        <f ca="1">IFERROR(IF($T8&gt;=1,INDEX(DALLY!$N$10:$KZ$47,$U$4,MATCH($U8,DALLY!$N$10:$KZ$10,0)+AF$4)*C8/1000,0),0)</f>
        <v>0</v>
      </c>
      <c r="AK8" s="499">
        <f ca="1">IFERROR(IF($T8&gt;=1,INDEX(DALLY!$N$10:$KZ$47,$U$3,MATCH($U8,DALLY!$N$10:$KZ$10,0)+AG$4)*C8/1000,0),0)</f>
        <v>0</v>
      </c>
      <c r="AL8" s="500">
        <f ca="1">IFERROR(IF($T8&gt;=1,INDEX(DALLY!$N$10:$KZ$47,$U$4,MATCH($U8,DALLY!$N$10:$KZ$10,0)+AH$4)*N8/1000,0),0)</f>
        <v>0</v>
      </c>
      <c r="AM8" s="500">
        <f ca="1">IFERROR(IF($T8&gt;=1,INDEX(DALLY!$N$10:$KZ$47,$U$4,MATCH($U8,DALLY!$N$10:$KZ$10,0)+AI$4)*O8/1000,0),0)</f>
        <v>0</v>
      </c>
      <c r="AN8" s="500">
        <f ca="1">AL8+AM8</f>
        <v>0</v>
      </c>
      <c r="AO8" s="31"/>
      <c r="AP8" s="31"/>
      <c r="AQ8" s="31"/>
      <c r="AR8" s="31"/>
      <c r="AS8" s="31"/>
      <c r="AT8" s="31"/>
      <c r="AU8" s="497">
        <f ca="1">IFERROR(IF($T8&gt;=1,INDEX(DALLY!$N$10:$KZ$47,$U$4,MATCH($U8,DALLY!$N$10:$KZ$10,0)+AU$4),0),0)</f>
        <v>0</v>
      </c>
      <c r="AV8" s="497">
        <f ca="1">IFERROR(IF($T8&gt;=1,INDEX(DALLY!$N$10:$KZ$47,$U$4,MATCH($U8,DALLY!$N$10:$KZ$10,0)+AV$4),0),0)</f>
        <v>0</v>
      </c>
      <c r="AW8" s="497">
        <f ca="1">IFERROR(IF($T8&gt;=1,INDEX(DALLY!$N$10:$KZ$47,$U$4,MATCH($U8,DALLY!$N$10:$KZ$10,0)+AW$4),0),0)</f>
        <v>0</v>
      </c>
      <c r="AX8" s="497">
        <f ca="1">IFERROR(IF($T8&gt;=1,INDEX(DALLY!$N$10:$KZ$47,$U$4,MATCH($U8,DALLY!$N$10:$KZ$10,0)+AX$4),0),0)</f>
        <v>0</v>
      </c>
      <c r="AY8" s="497">
        <f ca="1">IFERROR(IF($T8&gt;=1,INDEX(DALLY!$N$10:$KZ$47,$U$4,MATCH($U8,DALLY!$N$10:$KZ$10,0)+AY$4),0),0)</f>
        <v>0</v>
      </c>
      <c r="AZ8" s="497">
        <f ca="1">IFERROR(IF($T8&gt;=1,INDEX(DALLY!$N$10:$KZ$47,$U$4,MATCH($U8,DALLY!$N$10:$KZ$10,0)+AZ$4),0),0)</f>
        <v>0</v>
      </c>
      <c r="BA8" s="498">
        <f ca="1">IFERROR(IF($T8&gt;=1,INDEX(DALLY!$N$10:$KZ$47,$U$3,MATCH($U8,DALLY!$N$10:$KZ$10,0)+BA$4),0),0)</f>
        <v>0</v>
      </c>
      <c r="BB8" s="498">
        <f ca="1">IFERROR(IF($T8&gt;=1,INDEX(DALLY!$N$10:$KZ$47,$U$3,MATCH($U8,DALLY!$N$10:$KZ$10,0)+BB$4),0),0)</f>
        <v>0</v>
      </c>
      <c r="BC8" s="498">
        <f ca="1">IFERROR(IF($T8&gt;=1,INDEX(DALLY!$N$10:$KZ$47,$U$3,MATCH($U8,DALLY!$N$10:$KZ$10,0)+BC$4),0),0)</f>
        <v>0</v>
      </c>
      <c r="BD8" s="498">
        <f ca="1">IFERROR(IF($T8&gt;=1,INDEX(DALLY!$N$10:$KZ$47,$U$3,MATCH($U8,DALLY!$N$10:$KZ$10,0)+BD$4),0),0)</f>
        <v>0</v>
      </c>
      <c r="BE8" s="498">
        <f ca="1">IFERROR(IF($T8&gt;=1,INDEX(DALLY!$N$10:$KZ$47,$U$3,MATCH($U8,DALLY!$N$10:$KZ$10,0)+BE$4),0),0)</f>
        <v>0</v>
      </c>
      <c r="BF8" s="498">
        <f ca="1">IFERROR(IF($T8&gt;=1,INDEX(DALLY!$N$10:$KZ$47,$U$3,MATCH($U8,DALLY!$N$10:$KZ$10,0)+BF$4),0),0)</f>
        <v>0</v>
      </c>
      <c r="BG8" s="499">
        <f ca="1">IFERROR(IF($T8&gt;=1,(IF($Q8=2,INDEX(DALLY!$N$10:$KZ$47,$U$4,MATCH($U8,DALLY!$N$10:$KZ$10,0)+BG$4)*D8/1000,0)),0),0)</f>
        <v>0</v>
      </c>
      <c r="BH8" s="499">
        <f ca="1">IFERROR(IF($T8&gt;=1,(IF($Q8=2,INDEX(DALLY!$N$10:$KZ$47,$U$4,MATCH($U8,DALLY!$N$10:$KZ$10,0)+BH$4)*E8/1000,0)),0),0)</f>
        <v>0</v>
      </c>
      <c r="BI8" s="499">
        <f ca="1">IFERROR(IF($T8&gt;=1,(IF($Q8=2,INDEX(DALLY!$N$10:$KZ$47,$U$4,MATCH($U8,DALLY!$N$10:$KZ$10,0)+BI$4)*F8/1000,0)),0),0)</f>
        <v>0</v>
      </c>
      <c r="BJ8" s="499">
        <f ca="1">IFERROR(IF($T8&gt;=1,(IF($Q8=2,INDEX(DALLY!$N$10:$KZ$47,$U$4,MATCH($U8,DALLY!$N$10:$KZ$10,0)+BJ$4)*G8/1000,0)),0),0)</f>
        <v>0</v>
      </c>
      <c r="BK8" s="499">
        <f ca="1">IFERROR(IF($T8&gt;=1,(IF($Q8=2,INDEX(DALLY!$N$10:$KZ$47,$U$4,MATCH($U8,DALLY!$N$10:$KZ$10,0)+BK$4)*H8/1000,0)),0),0)</f>
        <v>0</v>
      </c>
      <c r="BL8" s="499">
        <f ca="1">IFERROR(IF($T8&gt;=1,(IF($Q8=2,INDEX(DALLY!$N$10:$KZ$47,$U$4,MATCH($U8,DALLY!$N$10:$KZ$10,0)+BL$4)*I8/1000,0)),0),0)</f>
        <v>0</v>
      </c>
    </row>
    <row r="9" spans="1:237" ht="24.95" customHeight="1" x14ac:dyDescent="0.25">
      <c r="A9" s="52">
        <f>PROFILE!D5</f>
        <v>43617</v>
      </c>
      <c r="B9" s="3">
        <f ca="1">IFERROR(IF($T9&gt;=1,VLOOKUP($U9,HOME!$D$7:$AA$18,B$7,0),0),0)</f>
        <v>100</v>
      </c>
      <c r="C9" s="3">
        <f ca="1">IFERROR(IF($T9&gt;=1,VLOOKUP($U9,HOME!$D$7:$AA$18,C$7,0),0),0)</f>
        <v>150</v>
      </c>
      <c r="D9" s="3">
        <f ca="1">IFERROR(IF($T9&gt;=1,VLOOKUP($U9,HOME!$D$7:$AA$18,D$7,0),0),0)</f>
        <v>6</v>
      </c>
      <c r="E9" s="3">
        <f ca="1">IFERROR(IF($T9&gt;=1,VLOOKUP($U9,HOME!$D$7:$AA$18,E$7,0),0),0)</f>
        <v>7</v>
      </c>
      <c r="F9" s="3">
        <f ca="1">IFERROR(IF($T9&gt;=1,VLOOKUP($U9,HOME!$D$7:$AA$18,F$7,0),0),0)</f>
        <v>7</v>
      </c>
      <c r="G9" s="3">
        <f ca="1">IFERROR(IF($T9&gt;=1,VLOOKUP($U9,HOME!$D$7:$AA$18,G$7,0),0),0)</f>
        <v>20</v>
      </c>
      <c r="H9" s="3">
        <f ca="1">IFERROR(IF($T9&gt;=1,VLOOKUP($U9,HOME!$D$7:$AA$18,H$7,0),0),0)</f>
        <v>10</v>
      </c>
      <c r="I9" s="3">
        <f ca="1">IFERROR(IF($T9&gt;=1,VLOOKUP($U9,HOME!$D$7:$AA$18,I$7,0),0),0)</f>
        <v>10</v>
      </c>
      <c r="J9" s="408">
        <f ca="1">IFERROR(IF($T9&gt;=1,VLOOKUP($U9,HOME!$D$7:$AA$18,J$7,0),0),0)</f>
        <v>4.3499999999999996</v>
      </c>
      <c r="K9" s="408">
        <f ca="1">IFERROR(IF($T9&gt;=1,VLOOKUP($U9,HOME!$D$7:$AA$18,K$7,0),0),0)</f>
        <v>6.51</v>
      </c>
      <c r="L9" s="3">
        <f ca="1">IFERROR(IF($T9&gt;=1,VLOOKUP($U9,HOME!$D$7:$AA$18,L$7,0),0),0)</f>
        <v>3.08</v>
      </c>
      <c r="M9" s="3">
        <f ca="1">IFERROR(IF($T9&gt;=1,VLOOKUP($U9,HOME!$D$7:$AA$18,M$7,0),0),0)</f>
        <v>4.5999999999999996</v>
      </c>
      <c r="N9" s="408">
        <f ca="1">IFERROR(IF($T9&gt;=1,VLOOKUP($U9,HOME!$D$7:$AA$18,N$7,0),0),0)</f>
        <v>200</v>
      </c>
      <c r="O9" s="408">
        <f ca="1">IFERROR(IF($T9&gt;=1,VLOOKUP($U9,HOME!$D$7:$AA$18,O$7,0),0),0)</f>
        <v>250</v>
      </c>
      <c r="P9" s="408">
        <f ca="1">IFERROR(IF($T9&gt;=1,VLOOKUP($U9,HOME!$D$7:$AA$18,P$7,0),0),0)</f>
        <v>35</v>
      </c>
      <c r="Q9" s="3">
        <f>IF(LEN(PROFILE!L5)&gt;=2,VLOOKUP(PROFILE!L5,PROFILE!$AM$2:$AN$3,2,0),0)</f>
        <v>0</v>
      </c>
      <c r="S9" s="3">
        <f t="shared" ref="S9:S19" ca="1" si="0">IF(T9&gt;=1,MOD(T9,2),0)</f>
        <v>0</v>
      </c>
      <c r="T9" s="18">
        <f ca="1">IF($A$4&gt;=A9,PROFILE!G5,0)</f>
        <v>2</v>
      </c>
      <c r="U9" s="19" t="str">
        <f>PROFILE!H5</f>
        <v>जून 2019</v>
      </c>
      <c r="V9" s="494">
        <f ca="1">IF(T9&gt;=1,V8+Z8+AD8-AH8,0)</f>
        <v>0</v>
      </c>
      <c r="W9" s="494">
        <f ca="1">IF(T9&gt;=1,W8+AA8+AE8-AI8,0)</f>
        <v>0</v>
      </c>
      <c r="X9" s="494">
        <f ca="1">IF(T9&gt;=1,X8+AB8+AF8-AJ8,0)</f>
        <v>0</v>
      </c>
      <c r="Y9" s="494">
        <f ca="1">IF(T9&gt;=1,Y8+AC8+AG8-AK8,0)</f>
        <v>0</v>
      </c>
      <c r="Z9" s="497">
        <f ca="1">IFERROR(IF($T9&gt;=1,INDEX(DALLY!$N$10:$KZ$47,$U$4,MATCH($U9,DALLY!$N$10:$KZ$10,0)+V$4),0),0)</f>
        <v>0</v>
      </c>
      <c r="AA9" s="497">
        <f ca="1">IFERROR(IF($T9&gt;=1,INDEX(DALLY!$N$10:$KZ$47,$U$4,MATCH($U9,DALLY!$N$10:$KZ$10,0)+W$4),0),0)</f>
        <v>0</v>
      </c>
      <c r="AB9" s="497">
        <f ca="1">IFERROR(IF($T9&gt;=1,INDEX(DALLY!$N$10:$KZ$47,$U$4,MATCH($U9,DALLY!$N$10:$KZ$10,0)+X$4),0),0)</f>
        <v>0</v>
      </c>
      <c r="AC9" s="497">
        <f ca="1">IFERROR(IF($T9&gt;=1,INDEX(DALLY!$N$10:$KZ$47,$U$4,MATCH($U9,DALLY!$N$10:$KZ$10,0)+Y$4),0),0)</f>
        <v>0</v>
      </c>
      <c r="AD9" s="498">
        <f ca="1">IFERROR(IF($T9&gt;=1,INDEX(DALLY!$N$10:$KZ$47,$U$3,MATCH($U9,DALLY!$N$10:$KZ$10,0)+Z$4),0),0)</f>
        <v>0</v>
      </c>
      <c r="AE9" s="498">
        <f ca="1">IFERROR(IF($T9&gt;=1,INDEX(DALLY!$N$10:$KZ$47,$U$3,MATCH($U9,DALLY!$N$10:$KZ$10,0)+AA$4),0),0)</f>
        <v>0</v>
      </c>
      <c r="AF9" s="498">
        <f ca="1">IFERROR(IF($T9&gt;=1,INDEX(DALLY!$N$10:$KZ$47,$U$3,MATCH($U9,DALLY!$N$10:$KZ$10,0)+AB$4),0),0)</f>
        <v>0</v>
      </c>
      <c r="AG9" s="498">
        <f ca="1">IFERROR(IF($T9&gt;=1,INDEX(DALLY!$N$10:$KZ$47,$U$3,MATCH($U9,DALLY!$N$10:$KZ$10,0)+AC$4),0),0)</f>
        <v>0</v>
      </c>
      <c r="AH9" s="499">
        <f ca="1">IFERROR(IF($T9&gt;=1,INDEX(DALLY!$N$10:$KZ$47,$U$4,MATCH($U9,DALLY!$N$10:$KZ$10,0)+AD$4)*B9/1000,0),0)</f>
        <v>0</v>
      </c>
      <c r="AI9" s="499">
        <f ca="1">IFERROR(IF($T9&gt;=1,INDEX(DALLY!$N$10:$KZ$47,$U$3,MATCH($U9,DALLY!$N$10:$KZ$10,0)+AE$4)*B9/1000,0),0)</f>
        <v>0</v>
      </c>
      <c r="AJ9" s="499">
        <f ca="1">IFERROR(IF($T9&gt;=1,INDEX(DALLY!$N$10:$KZ$47,$U$4,MATCH($U9,DALLY!$N$10:$KZ$10,0)+AF$4)*C9/1000,0),0)</f>
        <v>0</v>
      </c>
      <c r="AK9" s="499">
        <f ca="1">IFERROR(IF($T9&gt;=1,INDEX(DALLY!$N$10:$KZ$47,$U$3,MATCH($U9,DALLY!$N$10:$KZ$10,0)+AG$4)*C9/1000,0),0)</f>
        <v>0</v>
      </c>
      <c r="AL9" s="500">
        <f ca="1">IFERROR(IF($T9&gt;=1,INDEX(DALLY!$N$10:$KZ$47,$U$4,MATCH($U9,DALLY!$N$10:$KZ$10,0)+AH$4)*N9/1000,0),0)</f>
        <v>0</v>
      </c>
      <c r="AM9" s="500">
        <f ca="1">IFERROR(IF($T9&gt;=1,INDEX(DALLY!$N$10:$KZ$47,$U$4,MATCH($U9,DALLY!$N$10:$KZ$10,0)+AI$4)*O9/1000,0),0)</f>
        <v>0</v>
      </c>
      <c r="AN9" s="500">
        <f t="shared" ref="AN9:AN19" ca="1" si="1">AL9+AM9</f>
        <v>0</v>
      </c>
      <c r="AO9" s="495">
        <f ca="1">IF($T9&gt;=1,AO8+AU8+BA8-BG8,0)</f>
        <v>0</v>
      </c>
      <c r="AP9" s="495">
        <f t="shared" ref="AP9:AT9" ca="1" si="2">IF($T9&gt;=1,AP8+AV8+BB8-BH8,0)</f>
        <v>0</v>
      </c>
      <c r="AQ9" s="495">
        <f t="shared" ca="1" si="2"/>
        <v>0</v>
      </c>
      <c r="AR9" s="495">
        <f t="shared" ca="1" si="2"/>
        <v>0</v>
      </c>
      <c r="AS9" s="495">
        <f t="shared" ca="1" si="2"/>
        <v>0</v>
      </c>
      <c r="AT9" s="495">
        <f t="shared" ca="1" si="2"/>
        <v>0</v>
      </c>
      <c r="AU9" s="497">
        <f ca="1">IFERROR(IF($T9&gt;=1,INDEX(DALLY!$N$10:$KZ$47,$U$4,MATCH($U9,DALLY!$N$10:$KZ$10,0)+AU$4),0),0)</f>
        <v>0</v>
      </c>
      <c r="AV9" s="497">
        <f ca="1">IFERROR(IF($T9&gt;=1,INDEX(DALLY!$N$10:$KZ$47,$U$4,MATCH($U9,DALLY!$N$10:$KZ$10,0)+AV$4),0),0)</f>
        <v>0</v>
      </c>
      <c r="AW9" s="497">
        <f ca="1">IFERROR(IF($T9&gt;=1,INDEX(DALLY!$N$10:$KZ$47,$U$4,MATCH($U9,DALLY!$N$10:$KZ$10,0)+AW$4),0),0)</f>
        <v>0</v>
      </c>
      <c r="AX9" s="497">
        <f ca="1">IFERROR(IF($T9&gt;=1,INDEX(DALLY!$N$10:$KZ$47,$U$4,MATCH($U9,DALLY!$N$10:$KZ$10,0)+AX$4),0),0)</f>
        <v>0</v>
      </c>
      <c r="AY9" s="497">
        <f ca="1">IFERROR(IF($T9&gt;=1,INDEX(DALLY!$N$10:$KZ$47,$U$4,MATCH($U9,DALLY!$N$10:$KZ$10,0)+AY$4),0),0)</f>
        <v>0</v>
      </c>
      <c r="AZ9" s="497">
        <f ca="1">IFERROR(IF($T9&gt;=1,INDEX(DALLY!$N$10:$KZ$47,$U$4,MATCH($U9,DALLY!$N$10:$KZ$10,0)+AZ$4),0),0)</f>
        <v>0</v>
      </c>
      <c r="BA9" s="498">
        <f ca="1">IFERROR(IF($T9&gt;=1,INDEX(DALLY!$N$10:$KZ$47,$U$3,MATCH($U9,DALLY!$N$10:$KZ$10,0)+BA$4),0),0)</f>
        <v>0</v>
      </c>
      <c r="BB9" s="498">
        <f ca="1">IFERROR(IF($T9&gt;=1,INDEX(DALLY!$N$10:$KZ$47,$U$3,MATCH($U9,DALLY!$N$10:$KZ$10,0)+BB$4),0),0)</f>
        <v>0</v>
      </c>
      <c r="BC9" s="498">
        <f ca="1">IFERROR(IF($T9&gt;=1,INDEX(DALLY!$N$10:$KZ$47,$U$3,MATCH($U9,DALLY!$N$10:$KZ$10,0)+BC$4),0),0)</f>
        <v>0</v>
      </c>
      <c r="BD9" s="498">
        <f ca="1">IFERROR(IF($T9&gt;=1,INDEX(DALLY!$N$10:$KZ$47,$U$3,MATCH($U9,DALLY!$N$10:$KZ$10,0)+BD$4),0),0)</f>
        <v>0</v>
      </c>
      <c r="BE9" s="498">
        <f ca="1">IFERROR(IF($T9&gt;=1,INDEX(DALLY!$N$10:$KZ$47,$U$3,MATCH($U9,DALLY!$N$10:$KZ$10,0)+BE$4),0),0)</f>
        <v>0</v>
      </c>
      <c r="BF9" s="498">
        <f ca="1">IFERROR(IF($T9&gt;=1,INDEX(DALLY!$N$10:$KZ$47,$U$3,MATCH($U9,DALLY!$N$10:$KZ$10,0)+BF$4),0),0)</f>
        <v>0</v>
      </c>
      <c r="BG9" s="499">
        <f ca="1">IFERROR(IF($T9&gt;=1,(IF($Q9=2,INDEX(DALLY!$N$10:$KZ$47,$U$4,MATCH($U9,DALLY!$N$10:$KZ$10,0)+BG$4)*D9/1000,0)),0),0)</f>
        <v>0</v>
      </c>
      <c r="BH9" s="499">
        <f ca="1">IFERROR(IF($T9&gt;=1,(IF($Q9=2,INDEX(DALLY!$N$10:$KZ$47,$U$4,MATCH($U9,DALLY!$N$10:$KZ$10,0)+BH$4)*E9/1000,0)),0),0)</f>
        <v>0</v>
      </c>
      <c r="BI9" s="499">
        <f ca="1">IFERROR(IF($T9&gt;=1,(IF($Q9=2,INDEX(DALLY!$N$10:$KZ$47,$U$4,MATCH($U9,DALLY!$N$10:$KZ$10,0)+BI$4)*F9/1000,0)),0),0)</f>
        <v>0</v>
      </c>
      <c r="BJ9" s="499">
        <f ca="1">IFERROR(IF($T9&gt;=1,(IF($Q9=2,INDEX(DALLY!$N$10:$KZ$47,$U$4,MATCH($U9,DALLY!$N$10:$KZ$10,0)+BJ$4)*G9/1000,0)),0),0)</f>
        <v>0</v>
      </c>
      <c r="BK9" s="499">
        <f ca="1">IFERROR(IF($T9&gt;=1,(IF($Q9=2,INDEX(DALLY!$N$10:$KZ$47,$U$4,MATCH($U9,DALLY!$N$10:$KZ$10,0)+BK$4)*H9/1000,0)),0),0)</f>
        <v>0</v>
      </c>
      <c r="BL9" s="499">
        <f ca="1">IFERROR(IF($T9&gt;=1,(IF($Q9=2,INDEX(DALLY!$N$10:$KZ$47,$U$4,MATCH($U9,DALLY!$N$10:$KZ$10,0)+BL$4)*I9/1000,0)),0),0)</f>
        <v>0</v>
      </c>
    </row>
    <row r="10" spans="1:237" ht="24.95" customHeight="1" x14ac:dyDescent="0.25">
      <c r="A10" s="52">
        <f>PROFILE!D6</f>
        <v>43647</v>
      </c>
      <c r="B10" s="3">
        <f ca="1">IFERROR(IF($T10&gt;=1,VLOOKUP($U10,HOME!$D$7:$AA$18,B$7,0),0),0)</f>
        <v>100</v>
      </c>
      <c r="C10" s="3">
        <f ca="1">IFERROR(IF($T10&gt;=1,VLOOKUP($U10,HOME!$D$7:$AA$18,C$7,0),0),0)</f>
        <v>150</v>
      </c>
      <c r="D10" s="3">
        <f ca="1">IFERROR(IF($T10&gt;=1,VLOOKUP($U10,HOME!$D$7:$AA$18,D$7,0),0),0)</f>
        <v>6</v>
      </c>
      <c r="E10" s="3">
        <f ca="1">IFERROR(IF($T10&gt;=1,VLOOKUP($U10,HOME!$D$7:$AA$18,E$7,0),0),0)</f>
        <v>7</v>
      </c>
      <c r="F10" s="3">
        <f ca="1">IFERROR(IF($T10&gt;=1,VLOOKUP($U10,HOME!$D$7:$AA$18,F$7,0),0),0)</f>
        <v>7</v>
      </c>
      <c r="G10" s="3">
        <f ca="1">IFERROR(IF($T10&gt;=1,VLOOKUP($U10,HOME!$D$7:$AA$18,G$7,0),0),0)</f>
        <v>20</v>
      </c>
      <c r="H10" s="3">
        <f ca="1">IFERROR(IF($T10&gt;=1,VLOOKUP($U10,HOME!$D$7:$AA$18,H$7,0),0),0)</f>
        <v>10</v>
      </c>
      <c r="I10" s="3">
        <f ca="1">IFERROR(IF($T10&gt;=1,VLOOKUP($U10,HOME!$D$7:$AA$18,I$7,0),0),0)</f>
        <v>10</v>
      </c>
      <c r="J10" s="408">
        <f ca="1">IFERROR(IF($T10&gt;=1,VLOOKUP($U10,HOME!$D$7:$AA$18,J$7,0),0),0)</f>
        <v>4.3499999999999996</v>
      </c>
      <c r="K10" s="408">
        <f ca="1">IFERROR(IF($T10&gt;=1,VLOOKUP($U10,HOME!$D$7:$AA$18,K$7,0),0),0)</f>
        <v>6.51</v>
      </c>
      <c r="L10" s="3">
        <f ca="1">IFERROR(IF($T10&gt;=1,VLOOKUP($U10,HOME!$D$7:$AA$18,L$7,0),0),0)</f>
        <v>3.08</v>
      </c>
      <c r="M10" s="3">
        <f ca="1">IFERROR(IF($T10&gt;=1,VLOOKUP($U10,HOME!$D$7:$AA$18,M$7,0),0),0)</f>
        <v>4.5999999999999996</v>
      </c>
      <c r="N10" s="408">
        <f ca="1">IFERROR(IF($T10&gt;=1,VLOOKUP($U10,HOME!$D$7:$AA$18,N$7,0),0),0)</f>
        <v>200</v>
      </c>
      <c r="O10" s="408">
        <f ca="1">IFERROR(IF($T10&gt;=1,VLOOKUP($U10,HOME!$D$7:$AA$18,O$7,0),0),0)</f>
        <v>250</v>
      </c>
      <c r="P10" s="408">
        <f ca="1">IFERROR(IF($T10&gt;=1,VLOOKUP($U10,HOME!$D$7:$AA$18,P$7,0),0),0)</f>
        <v>35</v>
      </c>
      <c r="Q10" s="3">
        <f>IF(LEN(PROFILE!L6)&gt;=2,VLOOKUP(PROFILE!L6,PROFILE!$AM$2:$AN$3,2,0),0)</f>
        <v>0</v>
      </c>
      <c r="S10" s="3">
        <f t="shared" ca="1" si="0"/>
        <v>1</v>
      </c>
      <c r="T10" s="18">
        <f ca="1">IF($A$4&gt;=A10,PROFILE!G6,0)</f>
        <v>3</v>
      </c>
      <c r="U10" s="19" t="str">
        <f>PROFILE!H6</f>
        <v>जुलाई 2019</v>
      </c>
      <c r="V10" s="494">
        <f t="shared" ref="V10:V19" ca="1" si="3">IF(T10&gt;=1,V9+Z9+AD9-AH9,0)</f>
        <v>0</v>
      </c>
      <c r="W10" s="495">
        <f t="shared" ref="W10:W19" ca="1" si="4">IF(T10&gt;=1,W9+AA9+AE9-AI9,0)</f>
        <v>0</v>
      </c>
      <c r="X10" s="496">
        <f t="shared" ref="X10:X19" ca="1" si="5">IF(T10&gt;=1,X9+AB9+AF9-AJ9,0)</f>
        <v>0</v>
      </c>
      <c r="Y10" s="496">
        <f t="shared" ref="Y10:Y19" ca="1" si="6">IF(T10&gt;=1,Y9+AC9+AG9-AK9,0)</f>
        <v>0</v>
      </c>
      <c r="Z10" s="497">
        <f ca="1">IFERROR(IF($T10&gt;=1,INDEX(DALLY!$N$10:$KZ$47,$U$4,MATCH($U10,DALLY!$N$10:$KZ$10,0)+V$4),0),0)</f>
        <v>0</v>
      </c>
      <c r="AA10" s="497">
        <f ca="1">IFERROR(IF($T10&gt;=1,INDEX(DALLY!$N$10:$KZ$47,$U$4,MATCH($U10,DALLY!$N$10:$KZ$10,0)+W$4),0),0)</f>
        <v>0</v>
      </c>
      <c r="AB10" s="497">
        <f ca="1">IFERROR(IF($T10&gt;=1,INDEX(DALLY!$N$10:$KZ$47,$U$4,MATCH($U10,DALLY!$N$10:$KZ$10,0)+X$4),0),0)</f>
        <v>0</v>
      </c>
      <c r="AC10" s="497">
        <f ca="1">IFERROR(IF($T10&gt;=1,INDEX(DALLY!$N$10:$KZ$47,$U$4,MATCH($U10,DALLY!$N$10:$KZ$10,0)+Y$4),0),0)</f>
        <v>0</v>
      </c>
      <c r="AD10" s="498">
        <f ca="1">IFERROR(IF($T10&gt;=1,INDEX(DALLY!$N$10:$KZ$47,$U$3,MATCH($U10,DALLY!$N$10:$KZ$10,0)+Z$4),0),0)</f>
        <v>0</v>
      </c>
      <c r="AE10" s="498">
        <f ca="1">IFERROR(IF($T10&gt;=1,INDEX(DALLY!$N$10:$KZ$47,$U$3,MATCH($U10,DALLY!$N$10:$KZ$10,0)+AA$4),0),0)</f>
        <v>0</v>
      </c>
      <c r="AF10" s="498">
        <f ca="1">IFERROR(IF($T10&gt;=1,INDEX(DALLY!$N$10:$KZ$47,$U$3,MATCH($U10,DALLY!$N$10:$KZ$10,0)+AB$4),0),0)</f>
        <v>0</v>
      </c>
      <c r="AG10" s="498">
        <f ca="1">IFERROR(IF($T10&gt;=1,INDEX(DALLY!$N$10:$KZ$47,$U$3,MATCH($U10,DALLY!$N$10:$KZ$10,0)+AC$4),0),0)</f>
        <v>0</v>
      </c>
      <c r="AH10" s="499">
        <f ca="1">IFERROR(IF($T10&gt;=1,INDEX(DALLY!$N$10:$KZ$47,$U$4,MATCH($U10,DALLY!$N$10:$KZ$10,0)+AD$4)*B10/1000,0),0)</f>
        <v>0</v>
      </c>
      <c r="AI10" s="499">
        <f ca="1">IFERROR(IF($T10&gt;=1,INDEX(DALLY!$N$10:$KZ$47,$U$3,MATCH($U10,DALLY!$N$10:$KZ$10,0)+AE$4)*B10/1000,0),0)</f>
        <v>0</v>
      </c>
      <c r="AJ10" s="499">
        <f ca="1">IFERROR(IF($T10&gt;=1,INDEX(DALLY!$N$10:$KZ$47,$U$4,MATCH($U10,DALLY!$N$10:$KZ$10,0)+AF$4)*C10/1000,0),0)</f>
        <v>0</v>
      </c>
      <c r="AK10" s="499">
        <f ca="1">IFERROR(IF($T10&gt;=1,INDEX(DALLY!$N$10:$KZ$47,$U$3,MATCH($U10,DALLY!$N$10:$KZ$10,0)+AG$4)*C10/1000,0),0)</f>
        <v>0</v>
      </c>
      <c r="AL10" s="500">
        <f ca="1">IFERROR(IF($T10&gt;=1,INDEX(DALLY!$N$10:$KZ$47,$U$4,MATCH($U10,DALLY!$N$10:$KZ$10,0)+AH$4)*N10/1000,0),0)</f>
        <v>0</v>
      </c>
      <c r="AM10" s="500">
        <f ca="1">IFERROR(IF($T10&gt;=1,INDEX(DALLY!$N$10:$KZ$47,$U$4,MATCH($U10,DALLY!$N$10:$KZ$10,0)+AI$4)*O10/1000,0),0)</f>
        <v>0</v>
      </c>
      <c r="AN10" s="500">
        <f t="shared" ca="1" si="1"/>
        <v>0</v>
      </c>
      <c r="AO10" s="495">
        <f t="shared" ref="AO10:AO19" ca="1" si="7">IF($T10&gt;=1,AO9+AU9+BA9-BG9,0)</f>
        <v>0</v>
      </c>
      <c r="AP10" s="495">
        <f t="shared" ref="AP10:AP19" ca="1" si="8">IF($T10&gt;=1,AP9+AV9+BB9-BH9,0)</f>
        <v>0</v>
      </c>
      <c r="AQ10" s="495">
        <f t="shared" ref="AQ10:AQ19" ca="1" si="9">IF($T10&gt;=1,AQ9+AW9+BC9-BI9,0)</f>
        <v>0</v>
      </c>
      <c r="AR10" s="495">
        <f t="shared" ref="AR10:AR19" ca="1" si="10">IF($T10&gt;=1,AR9+AX9+BD9-BJ9,0)</f>
        <v>0</v>
      </c>
      <c r="AS10" s="495">
        <f t="shared" ref="AS10:AS19" ca="1" si="11">IF($T10&gt;=1,AS9+AY9+BE9-BK9,0)</f>
        <v>0</v>
      </c>
      <c r="AT10" s="495">
        <f t="shared" ref="AT10:AT19" ca="1" si="12">IF($T10&gt;=1,AT9+AZ9+BF9-BL9,0)</f>
        <v>0</v>
      </c>
      <c r="AU10" s="497">
        <f ca="1">IFERROR(IF($T10&gt;=1,INDEX(DALLY!$N$10:$KZ$47,$U$4,MATCH($U10,DALLY!$N$10:$KZ$10,0)+AU$4),0),0)</f>
        <v>0</v>
      </c>
      <c r="AV10" s="497">
        <f ca="1">IFERROR(IF($T10&gt;=1,INDEX(DALLY!$N$10:$KZ$47,$U$4,MATCH($U10,DALLY!$N$10:$KZ$10,0)+AV$4),0),0)</f>
        <v>0</v>
      </c>
      <c r="AW10" s="497">
        <f ca="1">IFERROR(IF($T10&gt;=1,INDEX(DALLY!$N$10:$KZ$47,$U$4,MATCH($U10,DALLY!$N$10:$KZ$10,0)+AW$4),0),0)</f>
        <v>0</v>
      </c>
      <c r="AX10" s="497">
        <f ca="1">IFERROR(IF($T10&gt;=1,INDEX(DALLY!$N$10:$KZ$47,$U$4,MATCH($U10,DALLY!$N$10:$KZ$10,0)+AX$4),0),0)</f>
        <v>0</v>
      </c>
      <c r="AY10" s="497">
        <f ca="1">IFERROR(IF($T10&gt;=1,INDEX(DALLY!$N$10:$KZ$47,$U$4,MATCH($U10,DALLY!$N$10:$KZ$10,0)+AY$4),0),0)</f>
        <v>0</v>
      </c>
      <c r="AZ10" s="497">
        <f ca="1">IFERROR(IF($T10&gt;=1,INDEX(DALLY!$N$10:$KZ$47,$U$4,MATCH($U10,DALLY!$N$10:$KZ$10,0)+AZ$4),0),0)</f>
        <v>0</v>
      </c>
      <c r="BA10" s="498">
        <f ca="1">IFERROR(IF($T10&gt;=1,INDEX(DALLY!$N$10:$KZ$47,$U$3,MATCH($U10,DALLY!$N$10:$KZ$10,0)+BA$4),0),0)</f>
        <v>0</v>
      </c>
      <c r="BB10" s="498">
        <f ca="1">IFERROR(IF($T10&gt;=1,INDEX(DALLY!$N$10:$KZ$47,$U$3,MATCH($U10,DALLY!$N$10:$KZ$10,0)+BB$4),0),0)</f>
        <v>0</v>
      </c>
      <c r="BC10" s="498">
        <f ca="1">IFERROR(IF($T10&gt;=1,INDEX(DALLY!$N$10:$KZ$47,$U$3,MATCH($U10,DALLY!$N$10:$KZ$10,0)+BC$4),0),0)</f>
        <v>0</v>
      </c>
      <c r="BD10" s="498">
        <f ca="1">IFERROR(IF($T10&gt;=1,INDEX(DALLY!$N$10:$KZ$47,$U$3,MATCH($U10,DALLY!$N$10:$KZ$10,0)+BD$4),0),0)</f>
        <v>0</v>
      </c>
      <c r="BE10" s="498">
        <f ca="1">IFERROR(IF($T10&gt;=1,INDEX(DALLY!$N$10:$KZ$47,$U$3,MATCH($U10,DALLY!$N$10:$KZ$10,0)+BE$4),0),0)</f>
        <v>0</v>
      </c>
      <c r="BF10" s="498">
        <f ca="1">IFERROR(IF($T10&gt;=1,INDEX(DALLY!$N$10:$KZ$47,$U$3,MATCH($U10,DALLY!$N$10:$KZ$10,0)+BF$4),0),0)</f>
        <v>0</v>
      </c>
      <c r="BG10" s="499">
        <f ca="1">IFERROR(IF($T10&gt;=1,(IF($Q10=2,INDEX(DALLY!$N$10:$KZ$47,$U$4,MATCH($U10,DALLY!$N$10:$KZ$10,0)+BG$4)*D10/1000,0)),0),0)</f>
        <v>0</v>
      </c>
      <c r="BH10" s="499">
        <f ca="1">IFERROR(IF($T10&gt;=1,(IF($Q10=2,INDEX(DALLY!$N$10:$KZ$47,$U$4,MATCH($U10,DALLY!$N$10:$KZ$10,0)+BH$4)*E10/1000,0)),0),0)</f>
        <v>0</v>
      </c>
      <c r="BI10" s="499">
        <f ca="1">IFERROR(IF($T10&gt;=1,(IF($Q10=2,INDEX(DALLY!$N$10:$KZ$47,$U$4,MATCH($U10,DALLY!$N$10:$KZ$10,0)+BI$4)*F10/1000,0)),0),0)</f>
        <v>0</v>
      </c>
      <c r="BJ10" s="499">
        <f ca="1">IFERROR(IF($T10&gt;=1,(IF($Q10=2,INDEX(DALLY!$N$10:$KZ$47,$U$4,MATCH($U10,DALLY!$N$10:$KZ$10,0)+BJ$4)*G10/1000,0)),0),0)</f>
        <v>0</v>
      </c>
      <c r="BK10" s="499">
        <f ca="1">IFERROR(IF($T10&gt;=1,(IF($Q10=2,INDEX(DALLY!$N$10:$KZ$47,$U$4,MATCH($U10,DALLY!$N$10:$KZ$10,0)+BK$4)*H10/1000,0)),0),0)</f>
        <v>0</v>
      </c>
      <c r="BL10" s="499">
        <f ca="1">IFERROR(IF($T10&gt;=1,(IF($Q10=2,INDEX(DALLY!$N$10:$KZ$47,$U$4,MATCH($U10,DALLY!$N$10:$KZ$10,0)+BL$4)*I10/1000,0)),0),0)</f>
        <v>0</v>
      </c>
    </row>
    <row r="11" spans="1:237" ht="24.95" customHeight="1" x14ac:dyDescent="0.25">
      <c r="A11" s="52">
        <f>PROFILE!D7</f>
        <v>43678</v>
      </c>
      <c r="B11" s="3">
        <f ca="1">IFERROR(IF($T11&gt;=1,VLOOKUP($U11,HOME!$D$7:$AA$18,B$7,0),0),0)</f>
        <v>100</v>
      </c>
      <c r="C11" s="3">
        <f ca="1">IFERROR(IF($T11&gt;=1,VLOOKUP($U11,HOME!$D$7:$AA$18,C$7,0),0),0)</f>
        <v>150</v>
      </c>
      <c r="D11" s="3">
        <f ca="1">IFERROR(IF($T11&gt;=1,VLOOKUP($U11,HOME!$D$7:$AA$18,D$7,0),0),0)</f>
        <v>6</v>
      </c>
      <c r="E11" s="3">
        <f ca="1">IFERROR(IF($T11&gt;=1,VLOOKUP($U11,HOME!$D$7:$AA$18,E$7,0),0),0)</f>
        <v>7</v>
      </c>
      <c r="F11" s="3">
        <f ca="1">IFERROR(IF($T11&gt;=1,VLOOKUP($U11,HOME!$D$7:$AA$18,F$7,0),0),0)</f>
        <v>7</v>
      </c>
      <c r="G11" s="3">
        <f ca="1">IFERROR(IF($T11&gt;=1,VLOOKUP($U11,HOME!$D$7:$AA$18,G$7,0),0),0)</f>
        <v>20</v>
      </c>
      <c r="H11" s="3">
        <f ca="1">IFERROR(IF($T11&gt;=1,VLOOKUP($U11,HOME!$D$7:$AA$18,H$7,0),0),0)</f>
        <v>10</v>
      </c>
      <c r="I11" s="3">
        <f ca="1">IFERROR(IF($T11&gt;=1,VLOOKUP($U11,HOME!$D$7:$AA$18,I$7,0),0),0)</f>
        <v>10</v>
      </c>
      <c r="J11" s="408">
        <f ca="1">IFERROR(IF($T11&gt;=1,VLOOKUP($U11,HOME!$D$7:$AA$18,J$7,0),0),0)</f>
        <v>4.4800000000000004</v>
      </c>
      <c r="K11" s="408">
        <f ca="1">IFERROR(IF($T11&gt;=1,VLOOKUP($U11,HOME!$D$7:$AA$18,K$7,0),0),0)</f>
        <v>6.71</v>
      </c>
      <c r="L11" s="3">
        <f ca="1">IFERROR(IF($T11&gt;=1,VLOOKUP($U11,HOME!$D$7:$AA$18,L$7,0),0),0)</f>
        <v>3.17</v>
      </c>
      <c r="M11" s="3">
        <f ca="1">IFERROR(IF($T11&gt;=1,VLOOKUP($U11,HOME!$D$7:$AA$18,M$7,0),0),0)</f>
        <v>4.74</v>
      </c>
      <c r="N11" s="408">
        <f ca="1">IFERROR(IF($T11&gt;=1,VLOOKUP($U11,HOME!$D$7:$AA$18,N$7,0),0),0)</f>
        <v>200</v>
      </c>
      <c r="O11" s="408">
        <f ca="1">IFERROR(IF($T11&gt;=1,VLOOKUP($U11,HOME!$D$7:$AA$18,O$7,0),0),0)</f>
        <v>250</v>
      </c>
      <c r="P11" s="408">
        <f ca="1">IFERROR(IF($T11&gt;=1,VLOOKUP($U11,HOME!$D$7:$AA$18,P$7,0),0),0)</f>
        <v>35</v>
      </c>
      <c r="Q11" s="3">
        <f>IF(LEN(PROFILE!L7)&gt;=2,VLOOKUP(PROFILE!L7,PROFILE!$AM$2:$AN$3,2,0),0)</f>
        <v>0</v>
      </c>
      <c r="S11" s="3">
        <f t="shared" ca="1" si="0"/>
        <v>0</v>
      </c>
      <c r="T11" s="18">
        <f ca="1">IF($A$4&gt;=A11,PROFILE!G7,0)</f>
        <v>4</v>
      </c>
      <c r="U11" s="19" t="str">
        <f>PROFILE!H7</f>
        <v>अगस्त 2019</v>
      </c>
      <c r="V11" s="494">
        <f t="shared" ca="1" si="3"/>
        <v>0</v>
      </c>
      <c r="W11" s="494">
        <f t="shared" ca="1" si="4"/>
        <v>0</v>
      </c>
      <c r="X11" s="494">
        <f t="shared" ca="1" si="5"/>
        <v>0</v>
      </c>
      <c r="Y11" s="494">
        <f t="shared" ca="1" si="6"/>
        <v>0</v>
      </c>
      <c r="Z11" s="497">
        <f ca="1">IFERROR(IF($T11&gt;=1,INDEX(DALLY!$N$10:$KZ$47,$U$4,MATCH($U11,DALLY!$N$10:$KZ$10,0)+V$4),0),0)</f>
        <v>0</v>
      </c>
      <c r="AA11" s="497">
        <f ca="1">IFERROR(IF($T11&gt;=1,INDEX(DALLY!$N$10:$KZ$47,$U$4,MATCH($U11,DALLY!$N$10:$KZ$10,0)+W$4),0),0)</f>
        <v>0</v>
      </c>
      <c r="AB11" s="497">
        <f ca="1">IFERROR(IF($T11&gt;=1,INDEX(DALLY!$N$10:$KZ$47,$U$4,MATCH($U11,DALLY!$N$10:$KZ$10,0)+X$4),0),0)</f>
        <v>0</v>
      </c>
      <c r="AC11" s="497">
        <f ca="1">IFERROR(IF($T11&gt;=1,INDEX(DALLY!$N$10:$KZ$47,$U$4,MATCH($U11,DALLY!$N$10:$KZ$10,0)+Y$4),0),0)</f>
        <v>0</v>
      </c>
      <c r="AD11" s="498">
        <f ca="1">IFERROR(IF($T11&gt;=1,INDEX(DALLY!$N$10:$KZ$47,$U$3,MATCH($U11,DALLY!$N$10:$KZ$10,0)+Z$4),0),0)</f>
        <v>0</v>
      </c>
      <c r="AE11" s="498">
        <f ca="1">IFERROR(IF($T11&gt;=1,INDEX(DALLY!$N$10:$KZ$47,$U$3,MATCH($U11,DALLY!$N$10:$KZ$10,0)+AA$4),0),0)</f>
        <v>0</v>
      </c>
      <c r="AF11" s="498">
        <f ca="1">IFERROR(IF($T11&gt;=1,INDEX(DALLY!$N$10:$KZ$47,$U$3,MATCH($U11,DALLY!$N$10:$KZ$10,0)+AB$4),0),0)</f>
        <v>0</v>
      </c>
      <c r="AG11" s="498">
        <f ca="1">IFERROR(IF($T11&gt;=1,INDEX(DALLY!$N$10:$KZ$47,$U$3,MATCH($U11,DALLY!$N$10:$KZ$10,0)+AC$4),0),0)</f>
        <v>0</v>
      </c>
      <c r="AH11" s="499">
        <f ca="1">IFERROR(IF($T11&gt;=1,INDEX(DALLY!$N$10:$KZ$47,$U$4,MATCH($U11,DALLY!$N$10:$KZ$10,0)+AD$4)*B11/1000,0),0)</f>
        <v>0</v>
      </c>
      <c r="AI11" s="499">
        <f ca="1">IFERROR(IF($T11&gt;=1,INDEX(DALLY!$N$10:$KZ$47,$U$3,MATCH($U11,DALLY!$N$10:$KZ$10,0)+AE$4)*B11/1000,0),0)</f>
        <v>0</v>
      </c>
      <c r="AJ11" s="499">
        <f ca="1">IFERROR(IF($T11&gt;=1,INDEX(DALLY!$N$10:$KZ$47,$U$4,MATCH($U11,DALLY!$N$10:$KZ$10,0)+AF$4)*C11/1000,0),0)</f>
        <v>0</v>
      </c>
      <c r="AK11" s="499">
        <f ca="1">IFERROR(IF($T11&gt;=1,INDEX(DALLY!$N$10:$KZ$47,$U$3,MATCH($U11,DALLY!$N$10:$KZ$10,0)+AG$4)*C11/1000,0),0)</f>
        <v>0</v>
      </c>
      <c r="AL11" s="500">
        <f ca="1">IFERROR(IF($T11&gt;=1,INDEX(DALLY!$N$10:$KZ$47,$U$4,MATCH($U11,DALLY!$N$10:$KZ$10,0)+AH$4)*N11/1000,0),0)</f>
        <v>0</v>
      </c>
      <c r="AM11" s="500">
        <f ca="1">IFERROR(IF($T11&gt;=1,INDEX(DALLY!$N$10:$KZ$47,$U$4,MATCH($U11,DALLY!$N$10:$KZ$10,0)+AI$4)*O11/1000,0),0)</f>
        <v>0</v>
      </c>
      <c r="AN11" s="500">
        <f t="shared" ca="1" si="1"/>
        <v>0</v>
      </c>
      <c r="AO11" s="495">
        <f t="shared" ca="1" si="7"/>
        <v>0</v>
      </c>
      <c r="AP11" s="495">
        <f t="shared" ca="1" si="8"/>
        <v>0</v>
      </c>
      <c r="AQ11" s="495">
        <f t="shared" ca="1" si="9"/>
        <v>0</v>
      </c>
      <c r="AR11" s="495">
        <f t="shared" ca="1" si="10"/>
        <v>0</v>
      </c>
      <c r="AS11" s="495">
        <f t="shared" ca="1" si="11"/>
        <v>0</v>
      </c>
      <c r="AT11" s="495">
        <f t="shared" ca="1" si="12"/>
        <v>0</v>
      </c>
      <c r="AU11" s="497">
        <f ca="1">IFERROR(IF($T11&gt;=1,INDEX(DALLY!$N$10:$KZ$47,$U$4,MATCH($U11,DALLY!$N$10:$KZ$10,0)+AU$4),0),0)</f>
        <v>0</v>
      </c>
      <c r="AV11" s="497">
        <f ca="1">IFERROR(IF($T11&gt;=1,INDEX(DALLY!$N$10:$KZ$47,$U$4,MATCH($U11,DALLY!$N$10:$KZ$10,0)+AV$4),0),0)</f>
        <v>0</v>
      </c>
      <c r="AW11" s="497">
        <f ca="1">IFERROR(IF($T11&gt;=1,INDEX(DALLY!$N$10:$KZ$47,$U$4,MATCH($U11,DALLY!$N$10:$KZ$10,0)+AW$4),0),0)</f>
        <v>0</v>
      </c>
      <c r="AX11" s="497">
        <f ca="1">IFERROR(IF($T11&gt;=1,INDEX(DALLY!$N$10:$KZ$47,$U$4,MATCH($U11,DALLY!$N$10:$KZ$10,0)+AX$4),0),0)</f>
        <v>0</v>
      </c>
      <c r="AY11" s="497">
        <f ca="1">IFERROR(IF($T11&gt;=1,INDEX(DALLY!$N$10:$KZ$47,$U$4,MATCH($U11,DALLY!$N$10:$KZ$10,0)+AY$4),0),0)</f>
        <v>0</v>
      </c>
      <c r="AZ11" s="497">
        <f ca="1">IFERROR(IF($T11&gt;=1,INDEX(DALLY!$N$10:$KZ$47,$U$4,MATCH($U11,DALLY!$N$10:$KZ$10,0)+AZ$4),0),0)</f>
        <v>0</v>
      </c>
      <c r="BA11" s="498">
        <f ca="1">IFERROR(IF($T11&gt;=1,INDEX(DALLY!$N$10:$KZ$47,$U$3,MATCH($U11,DALLY!$N$10:$KZ$10,0)+BA$4),0),0)</f>
        <v>0</v>
      </c>
      <c r="BB11" s="498">
        <f ca="1">IFERROR(IF($T11&gt;=1,INDEX(DALLY!$N$10:$KZ$47,$U$3,MATCH($U11,DALLY!$N$10:$KZ$10,0)+BB$4),0),0)</f>
        <v>0</v>
      </c>
      <c r="BC11" s="498">
        <f ca="1">IFERROR(IF($T11&gt;=1,INDEX(DALLY!$N$10:$KZ$47,$U$3,MATCH($U11,DALLY!$N$10:$KZ$10,0)+BC$4),0),0)</f>
        <v>0</v>
      </c>
      <c r="BD11" s="498">
        <f ca="1">IFERROR(IF($T11&gt;=1,INDEX(DALLY!$N$10:$KZ$47,$U$3,MATCH($U11,DALLY!$N$10:$KZ$10,0)+BD$4),0),0)</f>
        <v>0</v>
      </c>
      <c r="BE11" s="498">
        <f ca="1">IFERROR(IF($T11&gt;=1,INDEX(DALLY!$N$10:$KZ$47,$U$3,MATCH($U11,DALLY!$N$10:$KZ$10,0)+BE$4),0),0)</f>
        <v>0</v>
      </c>
      <c r="BF11" s="498">
        <f ca="1">IFERROR(IF($T11&gt;=1,INDEX(DALLY!$N$10:$KZ$47,$U$3,MATCH($U11,DALLY!$N$10:$KZ$10,0)+BF$4),0),0)</f>
        <v>0</v>
      </c>
      <c r="BG11" s="499">
        <f ca="1">IFERROR(IF($T11&gt;=1,(IF($Q11=2,INDEX(DALLY!$N$10:$KZ$47,$U$4,MATCH($U11,DALLY!$N$10:$KZ$10,0)+BG$4)*D11/1000,0)),0),0)</f>
        <v>0</v>
      </c>
      <c r="BH11" s="499">
        <f ca="1">IFERROR(IF($T11&gt;=1,(IF($Q11=2,INDEX(DALLY!$N$10:$KZ$47,$U$4,MATCH($U11,DALLY!$N$10:$KZ$10,0)+BH$4)*E11/1000,0)),0),0)</f>
        <v>0</v>
      </c>
      <c r="BI11" s="499">
        <f ca="1">IFERROR(IF($T11&gt;=1,(IF($Q11=2,INDEX(DALLY!$N$10:$KZ$47,$U$4,MATCH($U11,DALLY!$N$10:$KZ$10,0)+BI$4)*F11/1000,0)),0),0)</f>
        <v>0</v>
      </c>
      <c r="BJ11" s="499">
        <f ca="1">IFERROR(IF($T11&gt;=1,(IF($Q11=2,INDEX(DALLY!$N$10:$KZ$47,$U$4,MATCH($U11,DALLY!$N$10:$KZ$10,0)+BJ$4)*G11/1000,0)),0),0)</f>
        <v>0</v>
      </c>
      <c r="BK11" s="499">
        <f ca="1">IFERROR(IF($T11&gt;=1,(IF($Q11=2,INDEX(DALLY!$N$10:$KZ$47,$U$4,MATCH($U11,DALLY!$N$10:$KZ$10,0)+BK$4)*H11/1000,0)),0),0)</f>
        <v>0</v>
      </c>
      <c r="BL11" s="499">
        <f ca="1">IFERROR(IF($T11&gt;=1,(IF($Q11=2,INDEX(DALLY!$N$10:$KZ$47,$U$4,MATCH($U11,DALLY!$N$10:$KZ$10,0)+BL$4)*I11/1000,0)),0),0)</f>
        <v>0</v>
      </c>
    </row>
    <row r="12" spans="1:237" ht="24.95" customHeight="1" x14ac:dyDescent="0.25">
      <c r="A12" s="52">
        <f>PROFILE!D8</f>
        <v>43709</v>
      </c>
      <c r="B12" s="3">
        <f ca="1">IFERROR(IF($T12&gt;=1,VLOOKUP($U12,HOME!$D$7:$AA$18,B$7,0),0),0)</f>
        <v>100</v>
      </c>
      <c r="C12" s="3">
        <f ca="1">IFERROR(IF($T12&gt;=1,VLOOKUP($U12,HOME!$D$7:$AA$18,C$7,0),0),0)</f>
        <v>150</v>
      </c>
      <c r="D12" s="3">
        <f ca="1">IFERROR(IF($T12&gt;=1,VLOOKUP($U12,HOME!$D$7:$AA$18,D$7,0),0),0)</f>
        <v>6</v>
      </c>
      <c r="E12" s="3">
        <f ca="1">IFERROR(IF($T12&gt;=1,VLOOKUP($U12,HOME!$D$7:$AA$18,E$7,0),0),0)</f>
        <v>7</v>
      </c>
      <c r="F12" s="3">
        <f ca="1">IFERROR(IF($T12&gt;=1,VLOOKUP($U12,HOME!$D$7:$AA$18,F$7,0),0),0)</f>
        <v>7</v>
      </c>
      <c r="G12" s="3">
        <f ca="1">IFERROR(IF($T12&gt;=1,VLOOKUP($U12,HOME!$D$7:$AA$18,G$7,0),0),0)</f>
        <v>20</v>
      </c>
      <c r="H12" s="3">
        <f ca="1">IFERROR(IF($T12&gt;=1,VLOOKUP($U12,HOME!$D$7:$AA$18,H$7,0),0),0)</f>
        <v>10</v>
      </c>
      <c r="I12" s="3">
        <f ca="1">IFERROR(IF($T12&gt;=1,VLOOKUP($U12,HOME!$D$7:$AA$18,I$7,0),0),0)</f>
        <v>10</v>
      </c>
      <c r="J12" s="408">
        <f ca="1">IFERROR(IF($T12&gt;=1,VLOOKUP($U12,HOME!$D$7:$AA$18,J$7,0),0),0)</f>
        <v>4.4800000000000004</v>
      </c>
      <c r="K12" s="408">
        <f ca="1">IFERROR(IF($T12&gt;=1,VLOOKUP($U12,HOME!$D$7:$AA$18,K$7,0),0),0)</f>
        <v>6.71</v>
      </c>
      <c r="L12" s="3">
        <f ca="1">IFERROR(IF($T12&gt;=1,VLOOKUP($U12,HOME!$D$7:$AA$18,L$7,0),0),0)</f>
        <v>3.17</v>
      </c>
      <c r="M12" s="3">
        <f ca="1">IFERROR(IF($T12&gt;=1,VLOOKUP($U12,HOME!$D$7:$AA$18,M$7,0),0),0)</f>
        <v>4.74</v>
      </c>
      <c r="N12" s="408">
        <f ca="1">IFERROR(IF($T12&gt;=1,VLOOKUP($U12,HOME!$D$7:$AA$18,N$7,0),0),0)</f>
        <v>200</v>
      </c>
      <c r="O12" s="408">
        <f ca="1">IFERROR(IF($T12&gt;=1,VLOOKUP($U12,HOME!$D$7:$AA$18,O$7,0),0),0)</f>
        <v>250</v>
      </c>
      <c r="P12" s="408">
        <f ca="1">IFERROR(IF($T12&gt;=1,VLOOKUP($U12,HOME!$D$7:$AA$18,P$7,0),0),0)</f>
        <v>37</v>
      </c>
      <c r="Q12" s="3">
        <f>IF(LEN(PROFILE!L8)&gt;=2,VLOOKUP(PROFILE!L8,PROFILE!$AM$2:$AN$3,2,0),0)</f>
        <v>0</v>
      </c>
      <c r="S12" s="3">
        <f t="shared" ca="1" si="0"/>
        <v>1</v>
      </c>
      <c r="T12" s="18">
        <f ca="1">IF($A$4&gt;=A12,PROFILE!G8,0)</f>
        <v>5</v>
      </c>
      <c r="U12" s="19" t="str">
        <f>PROFILE!H8</f>
        <v>सितम्बर 2019</v>
      </c>
      <c r="V12" s="494">
        <f t="shared" ca="1" si="3"/>
        <v>0</v>
      </c>
      <c r="W12" s="495">
        <f t="shared" ca="1" si="4"/>
        <v>0</v>
      </c>
      <c r="X12" s="496">
        <f t="shared" ca="1" si="5"/>
        <v>0</v>
      </c>
      <c r="Y12" s="496">
        <f t="shared" ca="1" si="6"/>
        <v>0</v>
      </c>
      <c r="Z12" s="497">
        <f ca="1">IFERROR(IF($T12&gt;=1,INDEX(DALLY!$N$10:$KZ$47,$U$4,MATCH($U12,DALLY!$N$10:$KZ$10,0)+V$4),0),0)</f>
        <v>0</v>
      </c>
      <c r="AA12" s="497">
        <f ca="1">IFERROR(IF($T12&gt;=1,INDEX(DALLY!$N$10:$KZ$47,$U$4,MATCH($U12,DALLY!$N$10:$KZ$10,0)+W$4),0),0)</f>
        <v>0</v>
      </c>
      <c r="AB12" s="497">
        <f ca="1">IFERROR(IF($T12&gt;=1,INDEX(DALLY!$N$10:$KZ$47,$U$4,MATCH($U12,DALLY!$N$10:$KZ$10,0)+X$4),0),0)</f>
        <v>0</v>
      </c>
      <c r="AC12" s="497">
        <f ca="1">IFERROR(IF($T12&gt;=1,INDEX(DALLY!$N$10:$KZ$47,$U$4,MATCH($U12,DALLY!$N$10:$KZ$10,0)+Y$4),0),0)</f>
        <v>0</v>
      </c>
      <c r="AD12" s="498">
        <f ca="1">IFERROR(IF($T12&gt;=1,INDEX(DALLY!$N$10:$KZ$47,$U$3,MATCH($U12,DALLY!$N$10:$KZ$10,0)+Z$4),0),0)</f>
        <v>0</v>
      </c>
      <c r="AE12" s="498">
        <f ca="1">IFERROR(IF($T12&gt;=1,INDEX(DALLY!$N$10:$KZ$47,$U$3,MATCH($U12,DALLY!$N$10:$KZ$10,0)+AA$4),0),0)</f>
        <v>0</v>
      </c>
      <c r="AF12" s="498">
        <f ca="1">IFERROR(IF($T12&gt;=1,INDEX(DALLY!$N$10:$KZ$47,$U$3,MATCH($U12,DALLY!$N$10:$KZ$10,0)+AB$4),0),0)</f>
        <v>0</v>
      </c>
      <c r="AG12" s="498">
        <f ca="1">IFERROR(IF($T12&gt;=1,INDEX(DALLY!$N$10:$KZ$47,$U$3,MATCH($U12,DALLY!$N$10:$KZ$10,0)+AC$4),0),0)</f>
        <v>0</v>
      </c>
      <c r="AH12" s="499">
        <f ca="1">IFERROR(IF($T12&gt;=1,INDEX(DALLY!$N$10:$KZ$47,$U$4,MATCH($U12,DALLY!$N$10:$KZ$10,0)+AD$4)*B12/1000,0),0)</f>
        <v>0</v>
      </c>
      <c r="AI12" s="499">
        <f ca="1">IFERROR(IF($T12&gt;=1,INDEX(DALLY!$N$10:$KZ$47,$U$3,MATCH($U12,DALLY!$N$10:$KZ$10,0)+AE$4)*B12/1000,0),0)</f>
        <v>0</v>
      </c>
      <c r="AJ12" s="499">
        <f ca="1">IFERROR(IF($T12&gt;=1,INDEX(DALLY!$N$10:$KZ$47,$U$4,MATCH($U12,DALLY!$N$10:$KZ$10,0)+AF$4)*C12/1000,0),0)</f>
        <v>0</v>
      </c>
      <c r="AK12" s="499">
        <f ca="1">IFERROR(IF($T12&gt;=1,INDEX(DALLY!$N$10:$KZ$47,$U$3,MATCH($U12,DALLY!$N$10:$KZ$10,0)+AG$4)*C12/1000,0),0)</f>
        <v>0</v>
      </c>
      <c r="AL12" s="500">
        <f ca="1">IFERROR(IF($T12&gt;=1,INDEX(DALLY!$N$10:$KZ$47,$U$4,MATCH($U12,DALLY!$N$10:$KZ$10,0)+AH$4)*N12/1000,0),0)</f>
        <v>0</v>
      </c>
      <c r="AM12" s="500">
        <f ca="1">IFERROR(IF($T12&gt;=1,INDEX(DALLY!$N$10:$KZ$47,$U$4,MATCH($U12,DALLY!$N$10:$KZ$10,0)+AI$4)*O12/1000,0),0)</f>
        <v>0</v>
      </c>
      <c r="AN12" s="500">
        <f t="shared" ca="1" si="1"/>
        <v>0</v>
      </c>
      <c r="AO12" s="495">
        <f t="shared" ca="1" si="7"/>
        <v>0</v>
      </c>
      <c r="AP12" s="495">
        <f t="shared" ca="1" si="8"/>
        <v>0</v>
      </c>
      <c r="AQ12" s="495">
        <f t="shared" ca="1" si="9"/>
        <v>0</v>
      </c>
      <c r="AR12" s="495">
        <f t="shared" ca="1" si="10"/>
        <v>0</v>
      </c>
      <c r="AS12" s="495">
        <f t="shared" ca="1" si="11"/>
        <v>0</v>
      </c>
      <c r="AT12" s="495">
        <f t="shared" ca="1" si="12"/>
        <v>0</v>
      </c>
      <c r="AU12" s="497">
        <f ca="1">IFERROR(IF($T12&gt;=1,INDEX(DALLY!$N$10:$KZ$47,$U$4,MATCH($U12,DALLY!$N$10:$KZ$10,0)+AU$4),0),0)</f>
        <v>0</v>
      </c>
      <c r="AV12" s="497">
        <f ca="1">IFERROR(IF($T12&gt;=1,INDEX(DALLY!$N$10:$KZ$47,$U$4,MATCH($U12,DALLY!$N$10:$KZ$10,0)+AV$4),0),0)</f>
        <v>0</v>
      </c>
      <c r="AW12" s="497">
        <f ca="1">IFERROR(IF($T12&gt;=1,INDEX(DALLY!$N$10:$KZ$47,$U$4,MATCH($U12,DALLY!$N$10:$KZ$10,0)+AW$4),0),0)</f>
        <v>0</v>
      </c>
      <c r="AX12" s="497">
        <f ca="1">IFERROR(IF($T12&gt;=1,INDEX(DALLY!$N$10:$KZ$47,$U$4,MATCH($U12,DALLY!$N$10:$KZ$10,0)+AX$4),0),0)</f>
        <v>0</v>
      </c>
      <c r="AY12" s="497">
        <f ca="1">IFERROR(IF($T12&gt;=1,INDEX(DALLY!$N$10:$KZ$47,$U$4,MATCH($U12,DALLY!$N$10:$KZ$10,0)+AY$4),0),0)</f>
        <v>0</v>
      </c>
      <c r="AZ12" s="497">
        <f ca="1">IFERROR(IF($T12&gt;=1,INDEX(DALLY!$N$10:$KZ$47,$U$4,MATCH($U12,DALLY!$N$10:$KZ$10,0)+AZ$4),0),0)</f>
        <v>0</v>
      </c>
      <c r="BA12" s="498">
        <f ca="1">IFERROR(IF($T12&gt;=1,INDEX(DALLY!$N$10:$KZ$47,$U$3,MATCH($U12,DALLY!$N$10:$KZ$10,0)+BA$4),0),0)</f>
        <v>0</v>
      </c>
      <c r="BB12" s="498">
        <f ca="1">IFERROR(IF($T12&gt;=1,INDEX(DALLY!$N$10:$KZ$47,$U$3,MATCH($U12,DALLY!$N$10:$KZ$10,0)+BB$4),0),0)</f>
        <v>0</v>
      </c>
      <c r="BC12" s="498">
        <f ca="1">IFERROR(IF($T12&gt;=1,INDEX(DALLY!$N$10:$KZ$47,$U$3,MATCH($U12,DALLY!$N$10:$KZ$10,0)+BC$4),0),0)</f>
        <v>0</v>
      </c>
      <c r="BD12" s="498">
        <f ca="1">IFERROR(IF($T12&gt;=1,INDEX(DALLY!$N$10:$KZ$47,$U$3,MATCH($U12,DALLY!$N$10:$KZ$10,0)+BD$4),0),0)</f>
        <v>0</v>
      </c>
      <c r="BE12" s="498">
        <f ca="1">IFERROR(IF($T12&gt;=1,INDEX(DALLY!$N$10:$KZ$47,$U$3,MATCH($U12,DALLY!$N$10:$KZ$10,0)+BE$4),0),0)</f>
        <v>0</v>
      </c>
      <c r="BF12" s="498">
        <f ca="1">IFERROR(IF($T12&gt;=1,INDEX(DALLY!$N$10:$KZ$47,$U$3,MATCH($U12,DALLY!$N$10:$KZ$10,0)+BF$4),0),0)</f>
        <v>0</v>
      </c>
      <c r="BG12" s="499">
        <f ca="1">IFERROR(IF($T12&gt;=1,(IF($Q12=2,INDEX(DALLY!$N$10:$KZ$47,$U$4,MATCH($U12,DALLY!$N$10:$KZ$10,0)+BG$4)*D12/1000,0)),0),0)</f>
        <v>0</v>
      </c>
      <c r="BH12" s="499">
        <f ca="1">IFERROR(IF($T12&gt;=1,(IF($Q12=2,INDEX(DALLY!$N$10:$KZ$47,$U$4,MATCH($U12,DALLY!$N$10:$KZ$10,0)+BH$4)*E12/1000,0)),0),0)</f>
        <v>0</v>
      </c>
      <c r="BI12" s="499">
        <f ca="1">IFERROR(IF($T12&gt;=1,(IF($Q12=2,INDEX(DALLY!$N$10:$KZ$47,$U$4,MATCH($U12,DALLY!$N$10:$KZ$10,0)+BI$4)*F12/1000,0)),0),0)</f>
        <v>0</v>
      </c>
      <c r="BJ12" s="499">
        <f ca="1">IFERROR(IF($T12&gt;=1,(IF($Q12=2,INDEX(DALLY!$N$10:$KZ$47,$U$4,MATCH($U12,DALLY!$N$10:$KZ$10,0)+BJ$4)*G12/1000,0)),0),0)</f>
        <v>0</v>
      </c>
      <c r="BK12" s="499">
        <f ca="1">IFERROR(IF($T12&gt;=1,(IF($Q12=2,INDEX(DALLY!$N$10:$KZ$47,$U$4,MATCH($U12,DALLY!$N$10:$KZ$10,0)+BK$4)*H12/1000,0)),0),0)</f>
        <v>0</v>
      </c>
      <c r="BL12" s="499">
        <f ca="1">IFERROR(IF($T12&gt;=1,(IF($Q12=2,INDEX(DALLY!$N$10:$KZ$47,$U$4,MATCH($U12,DALLY!$N$10:$KZ$10,0)+BL$4)*I12/1000,0)),0),0)</f>
        <v>0</v>
      </c>
    </row>
    <row r="13" spans="1:237" ht="24.95" customHeight="1" x14ac:dyDescent="0.25">
      <c r="A13" s="52">
        <f>PROFILE!D9</f>
        <v>43739</v>
      </c>
      <c r="B13" s="3">
        <f ca="1">IFERROR(IF($T13&gt;=1,VLOOKUP($U13,HOME!$D$7:$AA$18,B$7,0),0),0)</f>
        <v>100</v>
      </c>
      <c r="C13" s="3">
        <f ca="1">IFERROR(IF($T13&gt;=1,VLOOKUP($U13,HOME!$D$7:$AA$18,C$7,0),0),0)</f>
        <v>150</v>
      </c>
      <c r="D13" s="3">
        <f ca="1">IFERROR(IF($T13&gt;=1,VLOOKUP($U13,HOME!$D$7:$AA$18,D$7,0),0),0)</f>
        <v>6</v>
      </c>
      <c r="E13" s="3">
        <f ca="1">IFERROR(IF($T13&gt;=1,VLOOKUP($U13,HOME!$D$7:$AA$18,E$7,0),0),0)</f>
        <v>7</v>
      </c>
      <c r="F13" s="3">
        <f ca="1">IFERROR(IF($T13&gt;=1,VLOOKUP($U13,HOME!$D$7:$AA$18,F$7,0),0),0)</f>
        <v>7</v>
      </c>
      <c r="G13" s="3">
        <f ca="1">IFERROR(IF($T13&gt;=1,VLOOKUP($U13,HOME!$D$7:$AA$18,G$7,0),0),0)</f>
        <v>20</v>
      </c>
      <c r="H13" s="3">
        <f ca="1">IFERROR(IF($T13&gt;=1,VLOOKUP($U13,HOME!$D$7:$AA$18,H$7,0),0),0)</f>
        <v>10</v>
      </c>
      <c r="I13" s="3">
        <f ca="1">IFERROR(IF($T13&gt;=1,VLOOKUP($U13,HOME!$D$7:$AA$18,I$7,0),0),0)</f>
        <v>10</v>
      </c>
      <c r="J13" s="408">
        <f ca="1">IFERROR(IF($T13&gt;=1,VLOOKUP($U13,HOME!$D$7:$AA$18,J$7,0),0),0)</f>
        <v>4.4800000000000004</v>
      </c>
      <c r="K13" s="408">
        <f ca="1">IFERROR(IF($T13&gt;=1,VLOOKUP($U13,HOME!$D$7:$AA$18,K$7,0),0),0)</f>
        <v>6.71</v>
      </c>
      <c r="L13" s="3">
        <f ca="1">IFERROR(IF($T13&gt;=1,VLOOKUP($U13,HOME!$D$7:$AA$18,L$7,0),0),0)</f>
        <v>3.17</v>
      </c>
      <c r="M13" s="3">
        <f ca="1">IFERROR(IF($T13&gt;=1,VLOOKUP($U13,HOME!$D$7:$AA$18,M$7,0),0),0)</f>
        <v>4.74</v>
      </c>
      <c r="N13" s="408">
        <f ca="1">IFERROR(IF($T13&gt;=1,VLOOKUP($U13,HOME!$D$7:$AA$18,N$7,0),0),0)</f>
        <v>200</v>
      </c>
      <c r="O13" s="408">
        <f ca="1">IFERROR(IF($T13&gt;=1,VLOOKUP($U13,HOME!$D$7:$AA$18,O$7,0),0),0)</f>
        <v>250</v>
      </c>
      <c r="P13" s="408">
        <f ca="1">IFERROR(IF($T13&gt;=1,VLOOKUP($U13,HOME!$D$7:$AA$18,P$7,0),0),0)</f>
        <v>37</v>
      </c>
      <c r="Q13" s="3">
        <f>IF(LEN(PROFILE!L9)&gt;=2,VLOOKUP(PROFILE!L9,PROFILE!$AM$2:$AN$3,2,0),0)</f>
        <v>0</v>
      </c>
      <c r="S13" s="3">
        <f t="shared" ca="1" si="0"/>
        <v>0</v>
      </c>
      <c r="T13" s="18">
        <f ca="1">IF($A$4&gt;=A13,PROFILE!G9,0)</f>
        <v>6</v>
      </c>
      <c r="U13" s="19" t="str">
        <f>PROFILE!H9</f>
        <v>अक्टूम्बर 2019</v>
      </c>
      <c r="V13" s="494">
        <f t="shared" ca="1" si="3"/>
        <v>0</v>
      </c>
      <c r="W13" s="494">
        <f t="shared" ca="1" si="4"/>
        <v>0</v>
      </c>
      <c r="X13" s="494">
        <f t="shared" ca="1" si="5"/>
        <v>0</v>
      </c>
      <c r="Y13" s="494">
        <f t="shared" ca="1" si="6"/>
        <v>0</v>
      </c>
      <c r="Z13" s="497">
        <f ca="1">IFERROR(IF($T13&gt;=1,INDEX(DALLY!$N$10:$KZ$47,$U$4,MATCH($U13,DALLY!$N$10:$KZ$10,0)+V$4),0),0)</f>
        <v>0</v>
      </c>
      <c r="AA13" s="497">
        <f ca="1">IFERROR(IF($T13&gt;=1,INDEX(DALLY!$N$10:$KZ$47,$U$4,MATCH($U13,DALLY!$N$10:$KZ$10,0)+W$4),0),0)</f>
        <v>0</v>
      </c>
      <c r="AB13" s="497">
        <f ca="1">IFERROR(IF($T13&gt;=1,INDEX(DALLY!$N$10:$KZ$47,$U$4,MATCH($U13,DALLY!$N$10:$KZ$10,0)+X$4),0),0)</f>
        <v>0</v>
      </c>
      <c r="AC13" s="497">
        <f ca="1">IFERROR(IF($T13&gt;=1,INDEX(DALLY!$N$10:$KZ$47,$U$4,MATCH($U13,DALLY!$N$10:$KZ$10,0)+Y$4),0),0)</f>
        <v>0</v>
      </c>
      <c r="AD13" s="498">
        <f ca="1">IFERROR(IF($T13&gt;=1,INDEX(DALLY!$N$10:$KZ$47,$U$3,MATCH($U13,DALLY!$N$10:$KZ$10,0)+Z$4),0),0)</f>
        <v>0</v>
      </c>
      <c r="AE13" s="498">
        <f ca="1">IFERROR(IF($T13&gt;=1,INDEX(DALLY!$N$10:$KZ$47,$U$3,MATCH($U13,DALLY!$N$10:$KZ$10,0)+AA$4),0),0)</f>
        <v>0</v>
      </c>
      <c r="AF13" s="498">
        <f ca="1">IFERROR(IF($T13&gt;=1,INDEX(DALLY!$N$10:$KZ$47,$U$3,MATCH($U13,DALLY!$N$10:$KZ$10,0)+AB$4),0),0)</f>
        <v>0</v>
      </c>
      <c r="AG13" s="498">
        <f ca="1">IFERROR(IF($T13&gt;=1,INDEX(DALLY!$N$10:$KZ$47,$U$3,MATCH($U13,DALLY!$N$10:$KZ$10,0)+AC$4),0),0)</f>
        <v>0</v>
      </c>
      <c r="AH13" s="499">
        <f ca="1">IFERROR(IF($T13&gt;=1,INDEX(DALLY!$N$10:$KZ$47,$U$4,MATCH($U13,DALLY!$N$10:$KZ$10,0)+AD$4)*B13/1000,0),0)</f>
        <v>0</v>
      </c>
      <c r="AI13" s="499">
        <f ca="1">IFERROR(IF($T13&gt;=1,INDEX(DALLY!$N$10:$KZ$47,$U$3,MATCH($U13,DALLY!$N$10:$KZ$10,0)+AE$4)*B13/1000,0),0)</f>
        <v>0</v>
      </c>
      <c r="AJ13" s="499">
        <f ca="1">IFERROR(IF($T13&gt;=1,INDEX(DALLY!$N$10:$KZ$47,$U$4,MATCH($U13,DALLY!$N$10:$KZ$10,0)+AF$4)*C13/1000,0),0)</f>
        <v>0</v>
      </c>
      <c r="AK13" s="499">
        <f ca="1">IFERROR(IF($T13&gt;=1,INDEX(DALLY!$N$10:$KZ$47,$U$3,MATCH($U13,DALLY!$N$10:$KZ$10,0)+AG$4)*C13/1000,0),0)</f>
        <v>0</v>
      </c>
      <c r="AL13" s="500">
        <f ca="1">IFERROR(IF($T13&gt;=1,INDEX(DALLY!$N$10:$KZ$47,$U$4,MATCH($U13,DALLY!$N$10:$KZ$10,0)+AH$4)*N13/1000,0),0)</f>
        <v>0</v>
      </c>
      <c r="AM13" s="500">
        <f ca="1">IFERROR(IF($T13&gt;=1,INDEX(DALLY!$N$10:$KZ$47,$U$4,MATCH($U13,DALLY!$N$10:$KZ$10,0)+AI$4)*O13/1000,0),0)</f>
        <v>0</v>
      </c>
      <c r="AN13" s="500">
        <f t="shared" ca="1" si="1"/>
        <v>0</v>
      </c>
      <c r="AO13" s="495">
        <f t="shared" ca="1" si="7"/>
        <v>0</v>
      </c>
      <c r="AP13" s="495">
        <f t="shared" ca="1" si="8"/>
        <v>0</v>
      </c>
      <c r="AQ13" s="495">
        <f t="shared" ca="1" si="9"/>
        <v>0</v>
      </c>
      <c r="AR13" s="495">
        <f t="shared" ca="1" si="10"/>
        <v>0</v>
      </c>
      <c r="AS13" s="495">
        <f t="shared" ca="1" si="11"/>
        <v>0</v>
      </c>
      <c r="AT13" s="495">
        <f t="shared" ca="1" si="12"/>
        <v>0</v>
      </c>
      <c r="AU13" s="497">
        <f ca="1">IFERROR(IF($T13&gt;=1,INDEX(DALLY!$N$10:$KZ$47,$U$4,MATCH($U13,DALLY!$N$10:$KZ$10,0)+AU$4),0),0)</f>
        <v>0</v>
      </c>
      <c r="AV13" s="497">
        <f ca="1">IFERROR(IF($T13&gt;=1,INDEX(DALLY!$N$10:$KZ$47,$U$4,MATCH($U13,DALLY!$N$10:$KZ$10,0)+AV$4),0),0)</f>
        <v>0</v>
      </c>
      <c r="AW13" s="497">
        <f ca="1">IFERROR(IF($T13&gt;=1,INDEX(DALLY!$N$10:$KZ$47,$U$4,MATCH($U13,DALLY!$N$10:$KZ$10,0)+AW$4),0),0)</f>
        <v>0</v>
      </c>
      <c r="AX13" s="497">
        <f ca="1">IFERROR(IF($T13&gt;=1,INDEX(DALLY!$N$10:$KZ$47,$U$4,MATCH($U13,DALLY!$N$10:$KZ$10,0)+AX$4),0),0)</f>
        <v>0</v>
      </c>
      <c r="AY13" s="497">
        <f ca="1">IFERROR(IF($T13&gt;=1,INDEX(DALLY!$N$10:$KZ$47,$U$4,MATCH($U13,DALLY!$N$10:$KZ$10,0)+AY$4),0),0)</f>
        <v>0</v>
      </c>
      <c r="AZ13" s="497">
        <f ca="1">IFERROR(IF($T13&gt;=1,INDEX(DALLY!$N$10:$KZ$47,$U$4,MATCH($U13,DALLY!$N$10:$KZ$10,0)+AZ$4),0),0)</f>
        <v>0</v>
      </c>
      <c r="BA13" s="498">
        <f ca="1">IFERROR(IF($T13&gt;=1,INDEX(DALLY!$N$10:$KZ$47,$U$3,MATCH($U13,DALLY!$N$10:$KZ$10,0)+BA$4),0),0)</f>
        <v>0</v>
      </c>
      <c r="BB13" s="498">
        <f ca="1">IFERROR(IF($T13&gt;=1,INDEX(DALLY!$N$10:$KZ$47,$U$3,MATCH($U13,DALLY!$N$10:$KZ$10,0)+BB$4),0),0)</f>
        <v>0</v>
      </c>
      <c r="BC13" s="498">
        <f ca="1">IFERROR(IF($T13&gt;=1,INDEX(DALLY!$N$10:$KZ$47,$U$3,MATCH($U13,DALLY!$N$10:$KZ$10,0)+BC$4),0),0)</f>
        <v>0</v>
      </c>
      <c r="BD13" s="498">
        <f ca="1">IFERROR(IF($T13&gt;=1,INDEX(DALLY!$N$10:$KZ$47,$U$3,MATCH($U13,DALLY!$N$10:$KZ$10,0)+BD$4),0),0)</f>
        <v>0</v>
      </c>
      <c r="BE13" s="498">
        <f ca="1">IFERROR(IF($T13&gt;=1,INDEX(DALLY!$N$10:$KZ$47,$U$3,MATCH($U13,DALLY!$N$10:$KZ$10,0)+BE$4),0),0)</f>
        <v>0</v>
      </c>
      <c r="BF13" s="498">
        <f ca="1">IFERROR(IF($T13&gt;=1,INDEX(DALLY!$N$10:$KZ$47,$U$3,MATCH($U13,DALLY!$N$10:$KZ$10,0)+BF$4),0),0)</f>
        <v>0</v>
      </c>
      <c r="BG13" s="499">
        <f ca="1">IFERROR(IF($T13&gt;=1,(IF($Q13=2,INDEX(DALLY!$N$10:$KZ$47,$U$4,MATCH($U13,DALLY!$N$10:$KZ$10,0)+BG$4)*D13/1000,0)),0),0)</f>
        <v>0</v>
      </c>
      <c r="BH13" s="499">
        <f ca="1">IFERROR(IF($T13&gt;=1,(IF($Q13=2,INDEX(DALLY!$N$10:$KZ$47,$U$4,MATCH($U13,DALLY!$N$10:$KZ$10,0)+BH$4)*E13/1000,0)),0),0)</f>
        <v>0</v>
      </c>
      <c r="BI13" s="499">
        <f ca="1">IFERROR(IF($T13&gt;=1,(IF($Q13=2,INDEX(DALLY!$N$10:$KZ$47,$U$4,MATCH($U13,DALLY!$N$10:$KZ$10,0)+BI$4)*F13/1000,0)),0),0)</f>
        <v>0</v>
      </c>
      <c r="BJ13" s="499">
        <f ca="1">IFERROR(IF($T13&gt;=1,(IF($Q13=2,INDEX(DALLY!$N$10:$KZ$47,$U$4,MATCH($U13,DALLY!$N$10:$KZ$10,0)+BJ$4)*G13/1000,0)),0),0)</f>
        <v>0</v>
      </c>
      <c r="BK13" s="499">
        <f ca="1">IFERROR(IF($T13&gt;=1,(IF($Q13=2,INDEX(DALLY!$N$10:$KZ$47,$U$4,MATCH($U13,DALLY!$N$10:$KZ$10,0)+BK$4)*H13/1000,0)),0),0)</f>
        <v>0</v>
      </c>
      <c r="BL13" s="499">
        <f ca="1">IFERROR(IF($T13&gt;=1,(IF($Q13=2,INDEX(DALLY!$N$10:$KZ$47,$U$4,MATCH($U13,DALLY!$N$10:$KZ$10,0)+BL$4)*I13/1000,0)),0),0)</f>
        <v>0</v>
      </c>
    </row>
    <row r="14" spans="1:237" ht="24.95" customHeight="1" x14ac:dyDescent="0.25">
      <c r="A14" s="52">
        <f>PROFILE!D10</f>
        <v>43770</v>
      </c>
      <c r="B14" s="3">
        <f ca="1">IFERROR(IF($T14&gt;=1,VLOOKUP($U14,HOME!$D$7:$AA$18,B$7,0),0),0)</f>
        <v>100</v>
      </c>
      <c r="C14" s="3">
        <f ca="1">IFERROR(IF($T14&gt;=1,VLOOKUP($U14,HOME!$D$7:$AA$18,C$7,0),0),0)</f>
        <v>150</v>
      </c>
      <c r="D14" s="3">
        <f ca="1">IFERROR(IF($T14&gt;=1,VLOOKUP($U14,HOME!$D$7:$AA$18,D$7,0),0),0)</f>
        <v>6</v>
      </c>
      <c r="E14" s="3">
        <f ca="1">IFERROR(IF($T14&gt;=1,VLOOKUP($U14,HOME!$D$7:$AA$18,E$7,0),0),0)</f>
        <v>7</v>
      </c>
      <c r="F14" s="3">
        <f ca="1">IFERROR(IF($T14&gt;=1,VLOOKUP($U14,HOME!$D$7:$AA$18,F$7,0),0),0)</f>
        <v>7</v>
      </c>
      <c r="G14" s="3">
        <f ca="1">IFERROR(IF($T14&gt;=1,VLOOKUP($U14,HOME!$D$7:$AA$18,G$7,0),0),0)</f>
        <v>20</v>
      </c>
      <c r="H14" s="3">
        <f ca="1">IFERROR(IF($T14&gt;=1,VLOOKUP($U14,HOME!$D$7:$AA$18,H$7,0),0),0)</f>
        <v>10</v>
      </c>
      <c r="I14" s="3">
        <f ca="1">IFERROR(IF($T14&gt;=1,VLOOKUP($U14,HOME!$D$7:$AA$18,I$7,0),0),0)</f>
        <v>10</v>
      </c>
      <c r="J14" s="408">
        <f ca="1">IFERROR(IF($T14&gt;=1,VLOOKUP($U14,HOME!$D$7:$AA$18,J$7,0),0),0)</f>
        <v>4.4800000000000004</v>
      </c>
      <c r="K14" s="408">
        <f ca="1">IFERROR(IF($T14&gt;=1,VLOOKUP($U14,HOME!$D$7:$AA$18,K$7,0),0),0)</f>
        <v>6.71</v>
      </c>
      <c r="L14" s="3">
        <f ca="1">IFERROR(IF($T14&gt;=1,VLOOKUP($U14,HOME!$D$7:$AA$18,L$7,0),0),0)</f>
        <v>3.17</v>
      </c>
      <c r="M14" s="3">
        <f ca="1">IFERROR(IF($T14&gt;=1,VLOOKUP($U14,HOME!$D$7:$AA$18,M$7,0),0),0)</f>
        <v>4.74</v>
      </c>
      <c r="N14" s="408">
        <f ca="1">IFERROR(IF($T14&gt;=1,VLOOKUP($U14,HOME!$D$7:$AA$18,N$7,0),0),0)</f>
        <v>200</v>
      </c>
      <c r="O14" s="408">
        <f ca="1">IFERROR(IF($T14&gt;=1,VLOOKUP($U14,HOME!$D$7:$AA$18,O$7,0),0),0)</f>
        <v>250</v>
      </c>
      <c r="P14" s="408">
        <f ca="1">IFERROR(IF($T14&gt;=1,VLOOKUP($U14,HOME!$D$7:$AA$18,P$7,0),0),0)</f>
        <v>37</v>
      </c>
      <c r="Q14" s="3">
        <f>IF(LEN(PROFILE!L10)&gt;=2,VLOOKUP(PROFILE!L10,PROFILE!$AM$2:$AN$3,2,0),0)</f>
        <v>0</v>
      </c>
      <c r="S14" s="3">
        <f t="shared" ca="1" si="0"/>
        <v>1</v>
      </c>
      <c r="T14" s="18">
        <f ca="1">IF($A$4&gt;=A14,PROFILE!G10,0)</f>
        <v>7</v>
      </c>
      <c r="U14" s="19" t="str">
        <f>PROFILE!H10</f>
        <v>नवम्बर 2019</v>
      </c>
      <c r="V14" s="494">
        <f t="shared" ca="1" si="3"/>
        <v>0</v>
      </c>
      <c r="W14" s="495">
        <f t="shared" ca="1" si="4"/>
        <v>0</v>
      </c>
      <c r="X14" s="496">
        <f t="shared" ca="1" si="5"/>
        <v>0</v>
      </c>
      <c r="Y14" s="496">
        <f t="shared" ca="1" si="6"/>
        <v>0</v>
      </c>
      <c r="Z14" s="497">
        <f ca="1">IFERROR(IF($T14&gt;=1,INDEX(DALLY!$N$10:$KZ$47,$U$4,MATCH($U14,DALLY!$N$10:$KZ$10,0)+V$4),0),0)</f>
        <v>0</v>
      </c>
      <c r="AA14" s="497">
        <f ca="1">IFERROR(IF($T14&gt;=1,INDEX(DALLY!$N$10:$KZ$47,$U$4,MATCH($U14,DALLY!$N$10:$KZ$10,0)+W$4),0),0)</f>
        <v>0</v>
      </c>
      <c r="AB14" s="497">
        <f ca="1">IFERROR(IF($T14&gt;=1,INDEX(DALLY!$N$10:$KZ$47,$U$4,MATCH($U14,DALLY!$N$10:$KZ$10,0)+X$4),0),0)</f>
        <v>0</v>
      </c>
      <c r="AC14" s="497">
        <f ca="1">IFERROR(IF($T14&gt;=1,INDEX(DALLY!$N$10:$KZ$47,$U$4,MATCH($U14,DALLY!$N$10:$KZ$10,0)+Y$4),0),0)</f>
        <v>0</v>
      </c>
      <c r="AD14" s="498">
        <f ca="1">IFERROR(IF($T14&gt;=1,INDEX(DALLY!$N$10:$KZ$47,$U$3,MATCH($U14,DALLY!$N$10:$KZ$10,0)+Z$4),0),0)</f>
        <v>0</v>
      </c>
      <c r="AE14" s="498">
        <f ca="1">IFERROR(IF($T14&gt;=1,INDEX(DALLY!$N$10:$KZ$47,$U$3,MATCH($U14,DALLY!$N$10:$KZ$10,0)+AA$4),0),0)</f>
        <v>0</v>
      </c>
      <c r="AF14" s="498">
        <f ca="1">IFERROR(IF($T14&gt;=1,INDEX(DALLY!$N$10:$KZ$47,$U$3,MATCH($U14,DALLY!$N$10:$KZ$10,0)+AB$4),0),0)</f>
        <v>0</v>
      </c>
      <c r="AG14" s="498">
        <f ca="1">IFERROR(IF($T14&gt;=1,INDEX(DALLY!$N$10:$KZ$47,$U$3,MATCH($U14,DALLY!$N$10:$KZ$10,0)+AC$4),0),0)</f>
        <v>0</v>
      </c>
      <c r="AH14" s="499">
        <f ca="1">IFERROR(IF($T14&gt;=1,INDEX(DALLY!$N$10:$KZ$47,$U$4,MATCH($U14,DALLY!$N$10:$KZ$10,0)+AD$4)*B14/1000,0),0)</f>
        <v>0</v>
      </c>
      <c r="AI14" s="499">
        <f ca="1">IFERROR(IF($T14&gt;=1,INDEX(DALLY!$N$10:$KZ$47,$U$3,MATCH($U14,DALLY!$N$10:$KZ$10,0)+AE$4)*B14/1000,0),0)</f>
        <v>0</v>
      </c>
      <c r="AJ14" s="499">
        <f ca="1">IFERROR(IF($T14&gt;=1,INDEX(DALLY!$N$10:$KZ$47,$U$4,MATCH($U14,DALLY!$N$10:$KZ$10,0)+AF$4)*C14/1000,0),0)</f>
        <v>0</v>
      </c>
      <c r="AK14" s="499">
        <f ca="1">IFERROR(IF($T14&gt;=1,INDEX(DALLY!$N$10:$KZ$47,$U$3,MATCH($U14,DALLY!$N$10:$KZ$10,0)+AG$4)*C14/1000,0),0)</f>
        <v>0</v>
      </c>
      <c r="AL14" s="500">
        <f ca="1">IFERROR(IF($T14&gt;=1,INDEX(DALLY!$N$10:$KZ$47,$U$4,MATCH($U14,DALLY!$N$10:$KZ$10,0)+AH$4)*N14/1000,0),0)</f>
        <v>0</v>
      </c>
      <c r="AM14" s="500">
        <f ca="1">IFERROR(IF($T14&gt;=1,INDEX(DALLY!$N$10:$KZ$47,$U$4,MATCH($U14,DALLY!$N$10:$KZ$10,0)+AI$4)*O14/1000,0),0)</f>
        <v>0</v>
      </c>
      <c r="AN14" s="500">
        <f t="shared" ca="1" si="1"/>
        <v>0</v>
      </c>
      <c r="AO14" s="495">
        <f t="shared" ca="1" si="7"/>
        <v>0</v>
      </c>
      <c r="AP14" s="495">
        <f t="shared" ca="1" si="8"/>
        <v>0</v>
      </c>
      <c r="AQ14" s="495">
        <f t="shared" ca="1" si="9"/>
        <v>0</v>
      </c>
      <c r="AR14" s="495">
        <f t="shared" ca="1" si="10"/>
        <v>0</v>
      </c>
      <c r="AS14" s="495">
        <f t="shared" ca="1" si="11"/>
        <v>0</v>
      </c>
      <c r="AT14" s="495">
        <f t="shared" ca="1" si="12"/>
        <v>0</v>
      </c>
      <c r="AU14" s="497">
        <f ca="1">IFERROR(IF($T14&gt;=1,INDEX(DALLY!$N$10:$KZ$47,$U$4,MATCH($U14,DALLY!$N$10:$KZ$10,0)+AU$4),0),0)</f>
        <v>0</v>
      </c>
      <c r="AV14" s="497">
        <f ca="1">IFERROR(IF($T14&gt;=1,INDEX(DALLY!$N$10:$KZ$47,$U$4,MATCH($U14,DALLY!$N$10:$KZ$10,0)+AV$4),0),0)</f>
        <v>0</v>
      </c>
      <c r="AW14" s="497">
        <f ca="1">IFERROR(IF($T14&gt;=1,INDEX(DALLY!$N$10:$KZ$47,$U$4,MATCH($U14,DALLY!$N$10:$KZ$10,0)+AW$4),0),0)</f>
        <v>0</v>
      </c>
      <c r="AX14" s="497">
        <f ca="1">IFERROR(IF($T14&gt;=1,INDEX(DALLY!$N$10:$KZ$47,$U$4,MATCH($U14,DALLY!$N$10:$KZ$10,0)+AX$4),0),0)</f>
        <v>0</v>
      </c>
      <c r="AY14" s="497">
        <f ca="1">IFERROR(IF($T14&gt;=1,INDEX(DALLY!$N$10:$KZ$47,$U$4,MATCH($U14,DALLY!$N$10:$KZ$10,0)+AY$4),0),0)</f>
        <v>0</v>
      </c>
      <c r="AZ14" s="497">
        <f ca="1">IFERROR(IF($T14&gt;=1,INDEX(DALLY!$N$10:$KZ$47,$U$4,MATCH($U14,DALLY!$N$10:$KZ$10,0)+AZ$4),0),0)</f>
        <v>0</v>
      </c>
      <c r="BA14" s="498">
        <f ca="1">IFERROR(IF($T14&gt;=1,INDEX(DALLY!$N$10:$KZ$47,$U$3,MATCH($U14,DALLY!$N$10:$KZ$10,0)+BA$4),0),0)</f>
        <v>0</v>
      </c>
      <c r="BB14" s="498">
        <f ca="1">IFERROR(IF($T14&gt;=1,INDEX(DALLY!$N$10:$KZ$47,$U$3,MATCH($U14,DALLY!$N$10:$KZ$10,0)+BB$4),0),0)</f>
        <v>0</v>
      </c>
      <c r="BC14" s="498">
        <f ca="1">IFERROR(IF($T14&gt;=1,INDEX(DALLY!$N$10:$KZ$47,$U$3,MATCH($U14,DALLY!$N$10:$KZ$10,0)+BC$4),0),0)</f>
        <v>0</v>
      </c>
      <c r="BD14" s="498">
        <f ca="1">IFERROR(IF($T14&gt;=1,INDEX(DALLY!$N$10:$KZ$47,$U$3,MATCH($U14,DALLY!$N$10:$KZ$10,0)+BD$4),0),0)</f>
        <v>0</v>
      </c>
      <c r="BE14" s="498">
        <f ca="1">IFERROR(IF($T14&gt;=1,INDEX(DALLY!$N$10:$KZ$47,$U$3,MATCH($U14,DALLY!$N$10:$KZ$10,0)+BE$4),0),0)</f>
        <v>0</v>
      </c>
      <c r="BF14" s="498">
        <f ca="1">IFERROR(IF($T14&gt;=1,INDEX(DALLY!$N$10:$KZ$47,$U$3,MATCH($U14,DALLY!$N$10:$KZ$10,0)+BF$4),0),0)</f>
        <v>0</v>
      </c>
      <c r="BG14" s="499">
        <f ca="1">IFERROR(IF($T14&gt;=1,(IF($Q14=2,INDEX(DALLY!$N$10:$KZ$47,$U$4,MATCH($U14,DALLY!$N$10:$KZ$10,0)+BG$4)*D14/1000,0)),0),0)</f>
        <v>0</v>
      </c>
      <c r="BH14" s="499">
        <f ca="1">IFERROR(IF($T14&gt;=1,(IF($Q14=2,INDEX(DALLY!$N$10:$KZ$47,$U$4,MATCH($U14,DALLY!$N$10:$KZ$10,0)+BH$4)*E14/1000,0)),0),0)</f>
        <v>0</v>
      </c>
      <c r="BI14" s="499">
        <f ca="1">IFERROR(IF($T14&gt;=1,(IF($Q14=2,INDEX(DALLY!$N$10:$KZ$47,$U$4,MATCH($U14,DALLY!$N$10:$KZ$10,0)+BI$4)*F14/1000,0)),0),0)</f>
        <v>0</v>
      </c>
      <c r="BJ14" s="499">
        <f ca="1">IFERROR(IF($T14&gt;=1,(IF($Q14=2,INDEX(DALLY!$N$10:$KZ$47,$U$4,MATCH($U14,DALLY!$N$10:$KZ$10,0)+BJ$4)*G14/1000,0)),0),0)</f>
        <v>0</v>
      </c>
      <c r="BK14" s="499">
        <f ca="1">IFERROR(IF($T14&gt;=1,(IF($Q14=2,INDEX(DALLY!$N$10:$KZ$47,$U$4,MATCH($U14,DALLY!$N$10:$KZ$10,0)+BK$4)*H14/1000,0)),0),0)</f>
        <v>0</v>
      </c>
      <c r="BL14" s="499">
        <f ca="1">IFERROR(IF($T14&gt;=1,(IF($Q14=2,INDEX(DALLY!$N$10:$KZ$47,$U$4,MATCH($U14,DALLY!$N$10:$KZ$10,0)+BL$4)*I14/1000,0)),0),0)</f>
        <v>0</v>
      </c>
    </row>
    <row r="15" spans="1:237" ht="24.95" customHeight="1" x14ac:dyDescent="0.25">
      <c r="A15" s="52">
        <f>PROFILE!D11</f>
        <v>43800</v>
      </c>
      <c r="B15" s="3">
        <f ca="1">IFERROR(IF($T15&gt;=1,VLOOKUP($U15,HOME!$D$7:$AA$18,B$7,0),0),0)</f>
        <v>100</v>
      </c>
      <c r="C15" s="3">
        <f ca="1">IFERROR(IF($T15&gt;=1,VLOOKUP($U15,HOME!$D$7:$AA$18,C$7,0),0),0)</f>
        <v>150</v>
      </c>
      <c r="D15" s="3">
        <f ca="1">IFERROR(IF($T15&gt;=1,VLOOKUP($U15,HOME!$D$7:$AA$18,D$7,0),0),0)</f>
        <v>6</v>
      </c>
      <c r="E15" s="3">
        <f ca="1">IFERROR(IF($T15&gt;=1,VLOOKUP($U15,HOME!$D$7:$AA$18,E$7,0),0),0)</f>
        <v>7</v>
      </c>
      <c r="F15" s="3">
        <f ca="1">IFERROR(IF($T15&gt;=1,VLOOKUP($U15,HOME!$D$7:$AA$18,F$7,0),0),0)</f>
        <v>7</v>
      </c>
      <c r="G15" s="3">
        <f ca="1">IFERROR(IF($T15&gt;=1,VLOOKUP($U15,HOME!$D$7:$AA$18,G$7,0),0),0)</f>
        <v>20</v>
      </c>
      <c r="H15" s="3">
        <f ca="1">IFERROR(IF($T15&gt;=1,VLOOKUP($U15,HOME!$D$7:$AA$18,H$7,0),0),0)</f>
        <v>10</v>
      </c>
      <c r="I15" s="3">
        <f ca="1">IFERROR(IF($T15&gt;=1,VLOOKUP($U15,HOME!$D$7:$AA$18,I$7,0),0),0)</f>
        <v>10</v>
      </c>
      <c r="J15" s="408">
        <f ca="1">IFERROR(IF($T15&gt;=1,VLOOKUP($U15,HOME!$D$7:$AA$18,J$7,0),0),0)</f>
        <v>4.4800000000000004</v>
      </c>
      <c r="K15" s="408">
        <f ca="1">IFERROR(IF($T15&gt;=1,VLOOKUP($U15,HOME!$D$7:$AA$18,K$7,0),0),0)</f>
        <v>6.71</v>
      </c>
      <c r="L15" s="3">
        <f ca="1">IFERROR(IF($T15&gt;=1,VLOOKUP($U15,HOME!$D$7:$AA$18,L$7,0),0),0)</f>
        <v>3.17</v>
      </c>
      <c r="M15" s="3">
        <f ca="1">IFERROR(IF($T15&gt;=1,VLOOKUP($U15,HOME!$D$7:$AA$18,M$7,0),0),0)</f>
        <v>4.74</v>
      </c>
      <c r="N15" s="408">
        <f ca="1">IFERROR(IF($T15&gt;=1,VLOOKUP($U15,HOME!$D$7:$AA$18,N$7,0),0),0)</f>
        <v>200</v>
      </c>
      <c r="O15" s="408">
        <f ca="1">IFERROR(IF($T15&gt;=1,VLOOKUP($U15,HOME!$D$7:$AA$18,O$7,0),0),0)</f>
        <v>250</v>
      </c>
      <c r="P15" s="408">
        <f ca="1">IFERROR(IF($T15&gt;=1,VLOOKUP($U15,HOME!$D$7:$AA$18,P$7,0),0),0)</f>
        <v>37</v>
      </c>
      <c r="Q15" s="3">
        <f>IF(LEN(PROFILE!L11)&gt;=2,VLOOKUP(PROFILE!L11,PROFILE!$AM$2:$AN$3,2,0),0)</f>
        <v>0</v>
      </c>
      <c r="S15" s="3">
        <f t="shared" ca="1" si="0"/>
        <v>0</v>
      </c>
      <c r="T15" s="18">
        <f ca="1">IF($A$4&gt;=A15,PROFILE!G11,0)</f>
        <v>8</v>
      </c>
      <c r="U15" s="19" t="str">
        <f>PROFILE!H11</f>
        <v>दिसम्बर 2019</v>
      </c>
      <c r="V15" s="494">
        <f t="shared" ca="1" si="3"/>
        <v>0</v>
      </c>
      <c r="W15" s="494">
        <f t="shared" ca="1" si="4"/>
        <v>0</v>
      </c>
      <c r="X15" s="494">
        <f t="shared" ca="1" si="5"/>
        <v>0</v>
      </c>
      <c r="Y15" s="494">
        <f t="shared" ca="1" si="6"/>
        <v>0</v>
      </c>
      <c r="Z15" s="497">
        <f ca="1">IFERROR(IF($T15&gt;=1,INDEX(DALLY!$N$10:$KZ$47,$U$4,MATCH($U15,DALLY!$N$10:$KZ$10,0)+V$4),0),0)</f>
        <v>0</v>
      </c>
      <c r="AA15" s="497">
        <f ca="1">IFERROR(IF($T15&gt;=1,INDEX(DALLY!$N$10:$KZ$47,$U$4,MATCH($U15,DALLY!$N$10:$KZ$10,0)+W$4),0),0)</f>
        <v>0</v>
      </c>
      <c r="AB15" s="497">
        <f ca="1">IFERROR(IF($T15&gt;=1,INDEX(DALLY!$N$10:$KZ$47,$U$4,MATCH($U15,DALLY!$N$10:$KZ$10,0)+X$4),0),0)</f>
        <v>0</v>
      </c>
      <c r="AC15" s="497">
        <f ca="1">IFERROR(IF($T15&gt;=1,INDEX(DALLY!$N$10:$KZ$47,$U$4,MATCH($U15,DALLY!$N$10:$KZ$10,0)+Y$4),0),0)</f>
        <v>0</v>
      </c>
      <c r="AD15" s="498">
        <f ca="1">IFERROR(IF($T15&gt;=1,INDEX(DALLY!$N$10:$KZ$47,$U$3,MATCH($U15,DALLY!$N$10:$KZ$10,0)+Z$4),0),0)</f>
        <v>0</v>
      </c>
      <c r="AE15" s="498">
        <f ca="1">IFERROR(IF($T15&gt;=1,INDEX(DALLY!$N$10:$KZ$47,$U$3,MATCH($U15,DALLY!$N$10:$KZ$10,0)+AA$4),0),0)</f>
        <v>0</v>
      </c>
      <c r="AF15" s="498">
        <f ca="1">IFERROR(IF($T15&gt;=1,INDEX(DALLY!$N$10:$KZ$47,$U$3,MATCH($U15,DALLY!$N$10:$KZ$10,0)+AB$4),0),0)</f>
        <v>0</v>
      </c>
      <c r="AG15" s="498">
        <f ca="1">IFERROR(IF($T15&gt;=1,INDEX(DALLY!$N$10:$KZ$47,$U$3,MATCH($U15,DALLY!$N$10:$KZ$10,0)+AC$4),0),0)</f>
        <v>0</v>
      </c>
      <c r="AH15" s="499">
        <f ca="1">IFERROR(IF($T15&gt;=1,INDEX(DALLY!$N$10:$KZ$47,$U$4,MATCH($U15,DALLY!$N$10:$KZ$10,0)+AD$4)*B15/1000,0),0)</f>
        <v>0</v>
      </c>
      <c r="AI15" s="499">
        <f ca="1">IFERROR(IF($T15&gt;=1,INDEX(DALLY!$N$10:$KZ$47,$U$3,MATCH($U15,DALLY!$N$10:$KZ$10,0)+AE$4)*B15/1000,0),0)</f>
        <v>0</v>
      </c>
      <c r="AJ15" s="499">
        <f ca="1">IFERROR(IF($T15&gt;=1,INDEX(DALLY!$N$10:$KZ$47,$U$4,MATCH($U15,DALLY!$N$10:$KZ$10,0)+AF$4)*C15/1000,0),0)</f>
        <v>0</v>
      </c>
      <c r="AK15" s="499">
        <f ca="1">IFERROR(IF($T15&gt;=1,INDEX(DALLY!$N$10:$KZ$47,$U$3,MATCH($U15,DALLY!$N$10:$KZ$10,0)+AG$4)*C15/1000,0),0)</f>
        <v>0</v>
      </c>
      <c r="AL15" s="500">
        <f ca="1">IFERROR(IF($T15&gt;=1,INDEX(DALLY!$N$10:$KZ$47,$U$4,MATCH($U15,DALLY!$N$10:$KZ$10,0)+AH$4)*N15/1000,0),0)</f>
        <v>0</v>
      </c>
      <c r="AM15" s="500">
        <f ca="1">IFERROR(IF($T15&gt;=1,INDEX(DALLY!$N$10:$KZ$47,$U$4,MATCH($U15,DALLY!$N$10:$KZ$10,0)+AI$4)*O15/1000,0),0)</f>
        <v>0</v>
      </c>
      <c r="AN15" s="500">
        <f t="shared" ca="1" si="1"/>
        <v>0</v>
      </c>
      <c r="AO15" s="495">
        <f t="shared" ca="1" si="7"/>
        <v>0</v>
      </c>
      <c r="AP15" s="495">
        <f t="shared" ca="1" si="8"/>
        <v>0</v>
      </c>
      <c r="AQ15" s="495">
        <f t="shared" ca="1" si="9"/>
        <v>0</v>
      </c>
      <c r="AR15" s="495">
        <f t="shared" ca="1" si="10"/>
        <v>0</v>
      </c>
      <c r="AS15" s="495">
        <f t="shared" ca="1" si="11"/>
        <v>0</v>
      </c>
      <c r="AT15" s="495">
        <f t="shared" ca="1" si="12"/>
        <v>0</v>
      </c>
      <c r="AU15" s="497">
        <f ca="1">IFERROR(IF($T15&gt;=1,INDEX(DALLY!$N$10:$KZ$47,$U$4,MATCH($U15,DALLY!$N$10:$KZ$10,0)+AU$4),0),0)</f>
        <v>0</v>
      </c>
      <c r="AV15" s="497">
        <f ca="1">IFERROR(IF($T15&gt;=1,INDEX(DALLY!$N$10:$KZ$47,$U$4,MATCH($U15,DALLY!$N$10:$KZ$10,0)+AV$4),0),0)</f>
        <v>0</v>
      </c>
      <c r="AW15" s="497">
        <f ca="1">IFERROR(IF($T15&gt;=1,INDEX(DALLY!$N$10:$KZ$47,$U$4,MATCH($U15,DALLY!$N$10:$KZ$10,0)+AW$4),0),0)</f>
        <v>0</v>
      </c>
      <c r="AX15" s="497">
        <f ca="1">IFERROR(IF($T15&gt;=1,INDEX(DALLY!$N$10:$KZ$47,$U$4,MATCH($U15,DALLY!$N$10:$KZ$10,0)+AX$4),0),0)</f>
        <v>0</v>
      </c>
      <c r="AY15" s="497">
        <f ca="1">IFERROR(IF($T15&gt;=1,INDEX(DALLY!$N$10:$KZ$47,$U$4,MATCH($U15,DALLY!$N$10:$KZ$10,0)+AY$4),0),0)</f>
        <v>0</v>
      </c>
      <c r="AZ15" s="497">
        <f ca="1">IFERROR(IF($T15&gt;=1,INDEX(DALLY!$N$10:$KZ$47,$U$4,MATCH($U15,DALLY!$N$10:$KZ$10,0)+AZ$4),0),0)</f>
        <v>0</v>
      </c>
      <c r="BA15" s="498">
        <f ca="1">IFERROR(IF($T15&gt;=1,INDEX(DALLY!$N$10:$KZ$47,$U$3,MATCH($U15,DALLY!$N$10:$KZ$10,0)+BA$4),0),0)</f>
        <v>0</v>
      </c>
      <c r="BB15" s="498">
        <f ca="1">IFERROR(IF($T15&gt;=1,INDEX(DALLY!$N$10:$KZ$47,$U$3,MATCH($U15,DALLY!$N$10:$KZ$10,0)+BB$4),0),0)</f>
        <v>0</v>
      </c>
      <c r="BC15" s="498">
        <f ca="1">IFERROR(IF($T15&gt;=1,INDEX(DALLY!$N$10:$KZ$47,$U$3,MATCH($U15,DALLY!$N$10:$KZ$10,0)+BC$4),0),0)</f>
        <v>0</v>
      </c>
      <c r="BD15" s="498">
        <f ca="1">IFERROR(IF($T15&gt;=1,INDEX(DALLY!$N$10:$KZ$47,$U$3,MATCH($U15,DALLY!$N$10:$KZ$10,0)+BD$4),0),0)</f>
        <v>0</v>
      </c>
      <c r="BE15" s="498">
        <f ca="1">IFERROR(IF($T15&gt;=1,INDEX(DALLY!$N$10:$KZ$47,$U$3,MATCH($U15,DALLY!$N$10:$KZ$10,0)+BE$4),0),0)</f>
        <v>0</v>
      </c>
      <c r="BF15" s="498">
        <f ca="1">IFERROR(IF($T15&gt;=1,INDEX(DALLY!$N$10:$KZ$47,$U$3,MATCH($U15,DALLY!$N$10:$KZ$10,0)+BF$4),0),0)</f>
        <v>0</v>
      </c>
      <c r="BG15" s="499">
        <f ca="1">IFERROR(IF($T15&gt;=1,(IF($Q15=2,INDEX(DALLY!$N$10:$KZ$47,$U$4,MATCH($U15,DALLY!$N$10:$KZ$10,0)+BG$4)*D15/1000,0)),0),0)</f>
        <v>0</v>
      </c>
      <c r="BH15" s="499">
        <f ca="1">IFERROR(IF($T15&gt;=1,(IF($Q15=2,INDEX(DALLY!$N$10:$KZ$47,$U$4,MATCH($U15,DALLY!$N$10:$KZ$10,0)+BH$4)*E15/1000,0)),0),0)</f>
        <v>0</v>
      </c>
      <c r="BI15" s="499">
        <f ca="1">IFERROR(IF($T15&gt;=1,(IF($Q15=2,INDEX(DALLY!$N$10:$KZ$47,$U$4,MATCH($U15,DALLY!$N$10:$KZ$10,0)+BI$4)*F15/1000,0)),0),0)</f>
        <v>0</v>
      </c>
      <c r="BJ15" s="499">
        <f ca="1">IFERROR(IF($T15&gt;=1,(IF($Q15=2,INDEX(DALLY!$N$10:$KZ$47,$U$4,MATCH($U15,DALLY!$N$10:$KZ$10,0)+BJ$4)*G15/1000,0)),0),0)</f>
        <v>0</v>
      </c>
      <c r="BK15" s="499">
        <f ca="1">IFERROR(IF($T15&gt;=1,(IF($Q15=2,INDEX(DALLY!$N$10:$KZ$47,$U$4,MATCH($U15,DALLY!$N$10:$KZ$10,0)+BK$4)*H15/1000,0)),0),0)</f>
        <v>0</v>
      </c>
      <c r="BL15" s="499">
        <f ca="1">IFERROR(IF($T15&gt;=1,(IF($Q15=2,INDEX(DALLY!$N$10:$KZ$47,$U$4,MATCH($U15,DALLY!$N$10:$KZ$10,0)+BL$4)*I15/1000,0)),0),0)</f>
        <v>0</v>
      </c>
    </row>
    <row r="16" spans="1:237" ht="24.95" customHeight="1" x14ac:dyDescent="0.25">
      <c r="A16" s="52">
        <f>PROFILE!D12</f>
        <v>43831</v>
      </c>
      <c r="B16" s="3">
        <f ca="1">IFERROR(IF($T16&gt;=1,VLOOKUP($U16,HOME!$D$7:$AA$18,B$7,0),0),0)</f>
        <v>100</v>
      </c>
      <c r="C16" s="3">
        <f ca="1">IFERROR(IF($T16&gt;=1,VLOOKUP($U16,HOME!$D$7:$AA$18,C$7,0),0),0)</f>
        <v>150</v>
      </c>
      <c r="D16" s="3">
        <f ca="1">IFERROR(IF($T16&gt;=1,VLOOKUP($U16,HOME!$D$7:$AA$18,D$7,0),0),0)</f>
        <v>6</v>
      </c>
      <c r="E16" s="3">
        <f ca="1">IFERROR(IF($T16&gt;=1,VLOOKUP($U16,HOME!$D$7:$AA$18,E$7,0),0),0)</f>
        <v>7</v>
      </c>
      <c r="F16" s="3">
        <f ca="1">IFERROR(IF($T16&gt;=1,VLOOKUP($U16,HOME!$D$7:$AA$18,F$7,0),0),0)</f>
        <v>7</v>
      </c>
      <c r="G16" s="3">
        <f ca="1">IFERROR(IF($T16&gt;=1,VLOOKUP($U16,HOME!$D$7:$AA$18,G$7,0),0),0)</f>
        <v>20</v>
      </c>
      <c r="H16" s="3">
        <f ca="1">IFERROR(IF($T16&gt;=1,VLOOKUP($U16,HOME!$D$7:$AA$18,H$7,0),0),0)</f>
        <v>10</v>
      </c>
      <c r="I16" s="3">
        <f ca="1">IFERROR(IF($T16&gt;=1,VLOOKUP($U16,HOME!$D$7:$AA$18,I$7,0),0),0)</f>
        <v>10</v>
      </c>
      <c r="J16" s="408">
        <f ca="1">IFERROR(IF($T16&gt;=1,VLOOKUP($U16,HOME!$D$7:$AA$18,J$7,0),0),0)</f>
        <v>4.4800000000000004</v>
      </c>
      <c r="K16" s="408">
        <f ca="1">IFERROR(IF($T16&gt;=1,VLOOKUP($U16,HOME!$D$7:$AA$18,K$7,0),0),0)</f>
        <v>6.71</v>
      </c>
      <c r="L16" s="3">
        <f ca="1">IFERROR(IF($T16&gt;=1,VLOOKUP($U16,HOME!$D$7:$AA$18,L$7,0),0),0)</f>
        <v>3.17</v>
      </c>
      <c r="M16" s="3">
        <f ca="1">IFERROR(IF($T16&gt;=1,VLOOKUP($U16,HOME!$D$7:$AA$18,M$7,0),0),0)</f>
        <v>4.74</v>
      </c>
      <c r="N16" s="408">
        <f ca="1">IFERROR(IF($T16&gt;=1,VLOOKUP($U16,HOME!$D$7:$AA$18,N$7,0),0),0)</f>
        <v>200</v>
      </c>
      <c r="O16" s="408">
        <f ca="1">IFERROR(IF($T16&gt;=1,VLOOKUP($U16,HOME!$D$7:$AA$18,O$7,0),0),0)</f>
        <v>250</v>
      </c>
      <c r="P16" s="408">
        <f ca="1">IFERROR(IF($T16&gt;=1,VLOOKUP($U16,HOME!$D$7:$AA$18,P$7,0),0),0)</f>
        <v>37</v>
      </c>
      <c r="Q16" s="3">
        <f>IF(LEN(PROFILE!L12)&gt;=2,VLOOKUP(PROFILE!L12,PROFILE!$AM$2:$AN$3,2,0),0)</f>
        <v>0</v>
      </c>
      <c r="S16" s="3">
        <f t="shared" ca="1" si="0"/>
        <v>1</v>
      </c>
      <c r="T16" s="18">
        <f ca="1">IF($A$4&gt;=A16,PROFILE!G12,0)</f>
        <v>9</v>
      </c>
      <c r="U16" s="19" t="str">
        <f>PROFILE!H12</f>
        <v>जनवरी 2020</v>
      </c>
      <c r="V16" s="494">
        <f t="shared" ca="1" si="3"/>
        <v>0</v>
      </c>
      <c r="W16" s="495">
        <f t="shared" ca="1" si="4"/>
        <v>0</v>
      </c>
      <c r="X16" s="496">
        <f t="shared" ca="1" si="5"/>
        <v>0</v>
      </c>
      <c r="Y16" s="496">
        <f t="shared" ca="1" si="6"/>
        <v>0</v>
      </c>
      <c r="Z16" s="497">
        <f ca="1">IFERROR(IF($T16&gt;=1,INDEX(DALLY!$N$10:$KZ$47,$U$4,MATCH($U16,DALLY!$N$10:$KZ$10,0)+V$4),0),0)</f>
        <v>0</v>
      </c>
      <c r="AA16" s="497">
        <f ca="1">IFERROR(IF($T16&gt;=1,INDEX(DALLY!$N$10:$KZ$47,$U$4,MATCH($U16,DALLY!$N$10:$KZ$10,0)+W$4),0),0)</f>
        <v>0</v>
      </c>
      <c r="AB16" s="497">
        <f ca="1">IFERROR(IF($T16&gt;=1,INDEX(DALLY!$N$10:$KZ$47,$U$4,MATCH($U16,DALLY!$N$10:$KZ$10,0)+X$4),0),0)</f>
        <v>0</v>
      </c>
      <c r="AC16" s="497">
        <f ca="1">IFERROR(IF($T16&gt;=1,INDEX(DALLY!$N$10:$KZ$47,$U$4,MATCH($U16,DALLY!$N$10:$KZ$10,0)+Y$4),0),0)</f>
        <v>0</v>
      </c>
      <c r="AD16" s="498">
        <f ca="1">IFERROR(IF($T16&gt;=1,INDEX(DALLY!$N$10:$KZ$47,$U$3,MATCH($U16,DALLY!$N$10:$KZ$10,0)+Z$4),0),0)</f>
        <v>0</v>
      </c>
      <c r="AE16" s="498">
        <f ca="1">IFERROR(IF($T16&gt;=1,INDEX(DALLY!$N$10:$KZ$47,$U$3,MATCH($U16,DALLY!$N$10:$KZ$10,0)+AA$4),0),0)</f>
        <v>0</v>
      </c>
      <c r="AF16" s="498">
        <f ca="1">IFERROR(IF($T16&gt;=1,INDEX(DALLY!$N$10:$KZ$47,$U$3,MATCH($U16,DALLY!$N$10:$KZ$10,0)+AB$4),0),0)</f>
        <v>0</v>
      </c>
      <c r="AG16" s="498">
        <f ca="1">IFERROR(IF($T16&gt;=1,INDEX(DALLY!$N$10:$KZ$47,$U$3,MATCH($U16,DALLY!$N$10:$KZ$10,0)+AC$4),0),0)</f>
        <v>0</v>
      </c>
      <c r="AH16" s="499">
        <f ca="1">IFERROR(IF($T16&gt;=1,INDEX(DALLY!$N$10:$KZ$47,$U$4,MATCH($U16,DALLY!$N$10:$KZ$10,0)+AD$4)*B16/1000,0),0)</f>
        <v>0</v>
      </c>
      <c r="AI16" s="499">
        <f ca="1">IFERROR(IF($T16&gt;=1,INDEX(DALLY!$N$10:$KZ$47,$U$3,MATCH($U16,DALLY!$N$10:$KZ$10,0)+AE$4)*B16/1000,0),0)</f>
        <v>0</v>
      </c>
      <c r="AJ16" s="499">
        <f ca="1">IFERROR(IF($T16&gt;=1,INDEX(DALLY!$N$10:$KZ$47,$U$4,MATCH($U16,DALLY!$N$10:$KZ$10,0)+AF$4)*C16/1000,0),0)</f>
        <v>0</v>
      </c>
      <c r="AK16" s="499">
        <f ca="1">IFERROR(IF($T16&gt;=1,INDEX(DALLY!$N$10:$KZ$47,$U$3,MATCH($U16,DALLY!$N$10:$KZ$10,0)+AG$4)*C16/1000,0),0)</f>
        <v>0</v>
      </c>
      <c r="AL16" s="500">
        <f ca="1">IFERROR(IF($T16&gt;=1,INDEX(DALLY!$N$10:$KZ$47,$U$4,MATCH($U16,DALLY!$N$10:$KZ$10,0)+AH$4)*N16/1000,0),0)</f>
        <v>0</v>
      </c>
      <c r="AM16" s="500">
        <f ca="1">IFERROR(IF($T16&gt;=1,INDEX(DALLY!$N$10:$KZ$47,$U$4,MATCH($U16,DALLY!$N$10:$KZ$10,0)+AI$4)*O16/1000,0),0)</f>
        <v>0</v>
      </c>
      <c r="AN16" s="500">
        <f t="shared" ca="1" si="1"/>
        <v>0</v>
      </c>
      <c r="AO16" s="495">
        <f t="shared" ca="1" si="7"/>
        <v>0</v>
      </c>
      <c r="AP16" s="495">
        <f t="shared" ca="1" si="8"/>
        <v>0</v>
      </c>
      <c r="AQ16" s="495">
        <f t="shared" ca="1" si="9"/>
        <v>0</v>
      </c>
      <c r="AR16" s="495">
        <f t="shared" ca="1" si="10"/>
        <v>0</v>
      </c>
      <c r="AS16" s="495">
        <f t="shared" ca="1" si="11"/>
        <v>0</v>
      </c>
      <c r="AT16" s="495">
        <f t="shared" ca="1" si="12"/>
        <v>0</v>
      </c>
      <c r="AU16" s="497">
        <f ca="1">IFERROR(IF($T16&gt;=1,INDEX(DALLY!$N$10:$KZ$47,$U$4,MATCH($U16,DALLY!$N$10:$KZ$10,0)+AU$4),0),0)</f>
        <v>0</v>
      </c>
      <c r="AV16" s="497">
        <f ca="1">IFERROR(IF($T16&gt;=1,INDEX(DALLY!$N$10:$KZ$47,$U$4,MATCH($U16,DALLY!$N$10:$KZ$10,0)+AV$4),0),0)</f>
        <v>0</v>
      </c>
      <c r="AW16" s="497">
        <f ca="1">IFERROR(IF($T16&gt;=1,INDEX(DALLY!$N$10:$KZ$47,$U$4,MATCH($U16,DALLY!$N$10:$KZ$10,0)+AW$4),0),0)</f>
        <v>0</v>
      </c>
      <c r="AX16" s="497">
        <f ca="1">IFERROR(IF($T16&gt;=1,INDEX(DALLY!$N$10:$KZ$47,$U$4,MATCH($U16,DALLY!$N$10:$KZ$10,0)+AX$4),0),0)</f>
        <v>0</v>
      </c>
      <c r="AY16" s="497">
        <f ca="1">IFERROR(IF($T16&gt;=1,INDEX(DALLY!$N$10:$KZ$47,$U$4,MATCH($U16,DALLY!$N$10:$KZ$10,0)+AY$4),0),0)</f>
        <v>0</v>
      </c>
      <c r="AZ16" s="497">
        <f ca="1">IFERROR(IF($T16&gt;=1,INDEX(DALLY!$N$10:$KZ$47,$U$4,MATCH($U16,DALLY!$N$10:$KZ$10,0)+AZ$4),0),0)</f>
        <v>0</v>
      </c>
      <c r="BA16" s="498">
        <f ca="1">IFERROR(IF($T16&gt;=1,INDEX(DALLY!$N$10:$KZ$47,$U$3,MATCH($U16,DALLY!$N$10:$KZ$10,0)+BA$4),0),0)</f>
        <v>0</v>
      </c>
      <c r="BB16" s="498">
        <f ca="1">IFERROR(IF($T16&gt;=1,INDEX(DALLY!$N$10:$KZ$47,$U$3,MATCH($U16,DALLY!$N$10:$KZ$10,0)+BB$4),0),0)</f>
        <v>0</v>
      </c>
      <c r="BC16" s="498">
        <f ca="1">IFERROR(IF($T16&gt;=1,INDEX(DALLY!$N$10:$KZ$47,$U$3,MATCH($U16,DALLY!$N$10:$KZ$10,0)+BC$4),0),0)</f>
        <v>0</v>
      </c>
      <c r="BD16" s="498">
        <f ca="1">IFERROR(IF($T16&gt;=1,INDEX(DALLY!$N$10:$KZ$47,$U$3,MATCH($U16,DALLY!$N$10:$KZ$10,0)+BD$4),0),0)</f>
        <v>0</v>
      </c>
      <c r="BE16" s="498">
        <f ca="1">IFERROR(IF($T16&gt;=1,INDEX(DALLY!$N$10:$KZ$47,$U$3,MATCH($U16,DALLY!$N$10:$KZ$10,0)+BE$4),0),0)</f>
        <v>0</v>
      </c>
      <c r="BF16" s="498">
        <f ca="1">IFERROR(IF($T16&gt;=1,INDEX(DALLY!$N$10:$KZ$47,$U$3,MATCH($U16,DALLY!$N$10:$KZ$10,0)+BF$4),0),0)</f>
        <v>0</v>
      </c>
      <c r="BG16" s="499">
        <f ca="1">IFERROR(IF($T16&gt;=1,(IF($Q16=2,INDEX(DALLY!$N$10:$KZ$47,$U$4,MATCH($U16,DALLY!$N$10:$KZ$10,0)+BG$4)*D16/1000,0)),0),0)</f>
        <v>0</v>
      </c>
      <c r="BH16" s="499">
        <f ca="1">IFERROR(IF($T16&gt;=1,(IF($Q16=2,INDEX(DALLY!$N$10:$KZ$47,$U$4,MATCH($U16,DALLY!$N$10:$KZ$10,0)+BH$4)*E16/1000,0)),0),0)</f>
        <v>0</v>
      </c>
      <c r="BI16" s="499">
        <f ca="1">IFERROR(IF($T16&gt;=1,(IF($Q16=2,INDEX(DALLY!$N$10:$KZ$47,$U$4,MATCH($U16,DALLY!$N$10:$KZ$10,0)+BI$4)*F16/1000,0)),0),0)</f>
        <v>0</v>
      </c>
      <c r="BJ16" s="499">
        <f ca="1">IFERROR(IF($T16&gt;=1,(IF($Q16=2,INDEX(DALLY!$N$10:$KZ$47,$U$4,MATCH($U16,DALLY!$N$10:$KZ$10,0)+BJ$4)*G16/1000,0)),0),0)</f>
        <v>0</v>
      </c>
      <c r="BK16" s="499">
        <f ca="1">IFERROR(IF($T16&gt;=1,(IF($Q16=2,INDEX(DALLY!$N$10:$KZ$47,$U$4,MATCH($U16,DALLY!$N$10:$KZ$10,0)+BK$4)*H16/1000,0)),0),0)</f>
        <v>0</v>
      </c>
      <c r="BL16" s="499">
        <f ca="1">IFERROR(IF($T16&gt;=1,(IF($Q16=2,INDEX(DALLY!$N$10:$KZ$47,$U$4,MATCH($U16,DALLY!$N$10:$KZ$10,0)+BL$4)*I16/1000,0)),0),0)</f>
        <v>0</v>
      </c>
    </row>
    <row r="17" spans="1:64" ht="24.95" customHeight="1" x14ac:dyDescent="0.25">
      <c r="A17" s="52">
        <f>PROFILE!D13</f>
        <v>43862</v>
      </c>
      <c r="B17" s="3">
        <f ca="1">IFERROR(IF($T17&gt;=1,VLOOKUP($U17,HOME!$D$7:$AA$18,B$7,0),0),0)</f>
        <v>0</v>
      </c>
      <c r="C17" s="3">
        <f ca="1">IFERROR(IF($T17&gt;=1,VLOOKUP($U17,HOME!$D$7:$AA$18,C$7,0),0),0)</f>
        <v>0</v>
      </c>
      <c r="D17" s="3">
        <f ca="1">IFERROR(IF($T17&gt;=1,VLOOKUP($U17,HOME!$D$7:$AA$18,D$7,0),0),0)</f>
        <v>0</v>
      </c>
      <c r="E17" s="3">
        <f ca="1">IFERROR(IF($T17&gt;=1,VLOOKUP($U17,HOME!$D$7:$AA$18,E$7,0),0),0)</f>
        <v>0</v>
      </c>
      <c r="F17" s="3">
        <f ca="1">IFERROR(IF($T17&gt;=1,VLOOKUP($U17,HOME!$D$7:$AA$18,F$7,0),0),0)</f>
        <v>0</v>
      </c>
      <c r="G17" s="3">
        <f ca="1">IFERROR(IF($T17&gt;=1,VLOOKUP($U17,HOME!$D$7:$AA$18,G$7,0),0),0)</f>
        <v>0</v>
      </c>
      <c r="H17" s="3">
        <f ca="1">IFERROR(IF($T17&gt;=1,VLOOKUP($U17,HOME!$D$7:$AA$18,H$7,0),0),0)</f>
        <v>0</v>
      </c>
      <c r="I17" s="3">
        <f ca="1">IFERROR(IF($T17&gt;=1,VLOOKUP($U17,HOME!$D$7:$AA$18,I$7,0),0),0)</f>
        <v>0</v>
      </c>
      <c r="J17" s="408">
        <f ca="1">IFERROR(IF($T17&gt;=1,VLOOKUP($U17,HOME!$D$7:$AA$18,J$7,0),0),0)</f>
        <v>0</v>
      </c>
      <c r="K17" s="408">
        <f ca="1">IFERROR(IF($T17&gt;=1,VLOOKUP($U17,HOME!$D$7:$AA$18,K$7,0),0),0)</f>
        <v>0</v>
      </c>
      <c r="L17" s="3">
        <f ca="1">IFERROR(IF($T17&gt;=1,VLOOKUP($U17,HOME!$D$7:$AA$18,L$7,0),0),0)</f>
        <v>0</v>
      </c>
      <c r="M17" s="3">
        <f ca="1">IFERROR(IF($T17&gt;=1,VLOOKUP($U17,HOME!$D$7:$AA$18,M$7,0),0),0)</f>
        <v>0</v>
      </c>
      <c r="N17" s="408">
        <f ca="1">IFERROR(IF($T17&gt;=1,VLOOKUP($U17,HOME!$D$7:$AA$18,N$7,0),0),0)</f>
        <v>0</v>
      </c>
      <c r="O17" s="408">
        <f ca="1">IFERROR(IF($T17&gt;=1,VLOOKUP($U17,HOME!$D$7:$AA$18,O$7,0),0),0)</f>
        <v>0</v>
      </c>
      <c r="P17" s="408">
        <f ca="1">IFERROR(IF($T17&gt;=1,VLOOKUP($U17,HOME!$D$7:$AA$18,P$7,0),0),0)</f>
        <v>0</v>
      </c>
      <c r="Q17" s="3">
        <f>IF(LEN(PROFILE!L13)&gt;=2,VLOOKUP(PROFILE!L13,PROFILE!$AM$2:$AN$3,2,0),0)</f>
        <v>0</v>
      </c>
      <c r="S17" s="3">
        <f t="shared" ca="1" si="0"/>
        <v>0</v>
      </c>
      <c r="T17" s="18">
        <f ca="1">IF($A$4&gt;=A17,PROFILE!G13,0)</f>
        <v>0</v>
      </c>
      <c r="U17" s="19" t="str">
        <f>PROFILE!H13</f>
        <v>फरवरी 2020</v>
      </c>
      <c r="V17" s="494">
        <f t="shared" ca="1" si="3"/>
        <v>0</v>
      </c>
      <c r="W17" s="494">
        <f t="shared" ca="1" si="4"/>
        <v>0</v>
      </c>
      <c r="X17" s="494">
        <f t="shared" ca="1" si="5"/>
        <v>0</v>
      </c>
      <c r="Y17" s="494">
        <f t="shared" ca="1" si="6"/>
        <v>0</v>
      </c>
      <c r="Z17" s="497">
        <f ca="1">IFERROR(IF($T17&gt;=1,INDEX(DALLY!$N$10:$KZ$47,$U$4,MATCH($U17,DALLY!$N$10:$KZ$10,0)+V$4),0),0)</f>
        <v>0</v>
      </c>
      <c r="AA17" s="497">
        <f ca="1">IFERROR(IF($T17&gt;=1,INDEX(DALLY!$N$10:$KZ$47,$U$4,MATCH($U17,DALLY!$N$10:$KZ$10,0)+W$4),0),0)</f>
        <v>0</v>
      </c>
      <c r="AB17" s="497">
        <f ca="1">IFERROR(IF($T17&gt;=1,INDEX(DALLY!$N$10:$KZ$47,$U$4,MATCH($U17,DALLY!$N$10:$KZ$10,0)+X$4),0),0)</f>
        <v>0</v>
      </c>
      <c r="AC17" s="497">
        <f ca="1">IFERROR(IF($T17&gt;=1,INDEX(DALLY!$N$10:$KZ$47,$U$4,MATCH($U17,DALLY!$N$10:$KZ$10,0)+Y$4),0),0)</f>
        <v>0</v>
      </c>
      <c r="AD17" s="498">
        <f ca="1">IFERROR(IF($T17&gt;=1,INDEX(DALLY!$N$10:$KZ$47,$U$3,MATCH($U17,DALLY!$N$10:$KZ$10,0)+Z$4),0),0)</f>
        <v>0</v>
      </c>
      <c r="AE17" s="498">
        <f ca="1">IFERROR(IF($T17&gt;=1,INDEX(DALLY!$N$10:$KZ$47,$U$3,MATCH($U17,DALLY!$N$10:$KZ$10,0)+AA$4),0),0)</f>
        <v>0</v>
      </c>
      <c r="AF17" s="498">
        <f ca="1">IFERROR(IF($T17&gt;=1,INDEX(DALLY!$N$10:$KZ$47,$U$3,MATCH($U17,DALLY!$N$10:$KZ$10,0)+AB$4),0),0)</f>
        <v>0</v>
      </c>
      <c r="AG17" s="498">
        <f ca="1">IFERROR(IF($T17&gt;=1,INDEX(DALLY!$N$10:$KZ$47,$U$3,MATCH($U17,DALLY!$N$10:$KZ$10,0)+AC$4),0),0)</f>
        <v>0</v>
      </c>
      <c r="AH17" s="499">
        <f ca="1">IFERROR(IF($T17&gt;=1,INDEX(DALLY!$N$10:$KZ$47,$U$4,MATCH($U17,DALLY!$N$10:$KZ$10,0)+AD$4)*B17/1000,0),0)</f>
        <v>0</v>
      </c>
      <c r="AI17" s="499">
        <f ca="1">IFERROR(IF($T17&gt;=1,INDEX(DALLY!$N$10:$KZ$47,$U$3,MATCH($U17,DALLY!$N$10:$KZ$10,0)+AE$4)*B17/1000,0),0)</f>
        <v>0</v>
      </c>
      <c r="AJ17" s="499">
        <f ca="1">IFERROR(IF($T17&gt;=1,INDEX(DALLY!$N$10:$KZ$47,$U$4,MATCH($U17,DALLY!$N$10:$KZ$10,0)+AF$4)*C17/1000,0),0)</f>
        <v>0</v>
      </c>
      <c r="AK17" s="499">
        <f ca="1">IFERROR(IF($T17&gt;=1,INDEX(DALLY!$N$10:$KZ$47,$U$3,MATCH($U17,DALLY!$N$10:$KZ$10,0)+AG$4)*C17/1000,0),0)</f>
        <v>0</v>
      </c>
      <c r="AL17" s="500">
        <f ca="1">IFERROR(IF($T17&gt;=1,INDEX(DALLY!$N$10:$KZ$47,$U$4,MATCH($U17,DALLY!$N$10:$KZ$10,0)+AH$4)*N17/1000,0),0)</f>
        <v>0</v>
      </c>
      <c r="AM17" s="500">
        <f ca="1">IFERROR(IF($T17&gt;=1,INDEX(DALLY!$N$10:$KZ$47,$U$4,MATCH($U17,DALLY!$N$10:$KZ$10,0)+AI$4)*O17/1000,0),0)</f>
        <v>0</v>
      </c>
      <c r="AN17" s="500">
        <f t="shared" ca="1" si="1"/>
        <v>0</v>
      </c>
      <c r="AO17" s="495">
        <f t="shared" ca="1" si="7"/>
        <v>0</v>
      </c>
      <c r="AP17" s="495">
        <f t="shared" ca="1" si="8"/>
        <v>0</v>
      </c>
      <c r="AQ17" s="495">
        <f t="shared" ca="1" si="9"/>
        <v>0</v>
      </c>
      <c r="AR17" s="495">
        <f t="shared" ca="1" si="10"/>
        <v>0</v>
      </c>
      <c r="AS17" s="495">
        <f t="shared" ca="1" si="11"/>
        <v>0</v>
      </c>
      <c r="AT17" s="495">
        <f t="shared" ca="1" si="12"/>
        <v>0</v>
      </c>
      <c r="AU17" s="497">
        <f ca="1">IFERROR(IF($T17&gt;=1,INDEX(DALLY!$N$10:$KZ$47,$U$4,MATCH($U17,DALLY!$N$10:$KZ$10,0)+AU$4),0),0)</f>
        <v>0</v>
      </c>
      <c r="AV17" s="497">
        <f ca="1">IFERROR(IF($T17&gt;=1,INDEX(DALLY!$N$10:$KZ$47,$U$4,MATCH($U17,DALLY!$N$10:$KZ$10,0)+AV$4),0),0)</f>
        <v>0</v>
      </c>
      <c r="AW17" s="497">
        <f ca="1">IFERROR(IF($T17&gt;=1,INDEX(DALLY!$N$10:$KZ$47,$U$4,MATCH($U17,DALLY!$N$10:$KZ$10,0)+AW$4),0),0)</f>
        <v>0</v>
      </c>
      <c r="AX17" s="497">
        <f ca="1">IFERROR(IF($T17&gt;=1,INDEX(DALLY!$N$10:$KZ$47,$U$4,MATCH($U17,DALLY!$N$10:$KZ$10,0)+AX$4),0),0)</f>
        <v>0</v>
      </c>
      <c r="AY17" s="497">
        <f ca="1">IFERROR(IF($T17&gt;=1,INDEX(DALLY!$N$10:$KZ$47,$U$4,MATCH($U17,DALLY!$N$10:$KZ$10,0)+AY$4),0),0)</f>
        <v>0</v>
      </c>
      <c r="AZ17" s="497">
        <f ca="1">IFERROR(IF($T17&gt;=1,INDEX(DALLY!$N$10:$KZ$47,$U$4,MATCH($U17,DALLY!$N$10:$KZ$10,0)+AZ$4),0),0)</f>
        <v>0</v>
      </c>
      <c r="BA17" s="498">
        <f ca="1">IFERROR(IF($T17&gt;=1,INDEX(DALLY!$N$10:$KZ$47,$U$3,MATCH($U17,DALLY!$N$10:$KZ$10,0)+BA$4),0),0)</f>
        <v>0</v>
      </c>
      <c r="BB17" s="498">
        <f ca="1">IFERROR(IF($T17&gt;=1,INDEX(DALLY!$N$10:$KZ$47,$U$3,MATCH($U17,DALLY!$N$10:$KZ$10,0)+BB$4),0),0)</f>
        <v>0</v>
      </c>
      <c r="BC17" s="498">
        <f ca="1">IFERROR(IF($T17&gt;=1,INDEX(DALLY!$N$10:$KZ$47,$U$3,MATCH($U17,DALLY!$N$10:$KZ$10,0)+BC$4),0),0)</f>
        <v>0</v>
      </c>
      <c r="BD17" s="498">
        <f ca="1">IFERROR(IF($T17&gt;=1,INDEX(DALLY!$N$10:$KZ$47,$U$3,MATCH($U17,DALLY!$N$10:$KZ$10,0)+BD$4),0),0)</f>
        <v>0</v>
      </c>
      <c r="BE17" s="498">
        <f ca="1">IFERROR(IF($T17&gt;=1,INDEX(DALLY!$N$10:$KZ$47,$U$3,MATCH($U17,DALLY!$N$10:$KZ$10,0)+BE$4),0),0)</f>
        <v>0</v>
      </c>
      <c r="BF17" s="498">
        <f ca="1">IFERROR(IF($T17&gt;=1,INDEX(DALLY!$N$10:$KZ$47,$U$3,MATCH($U17,DALLY!$N$10:$KZ$10,0)+BF$4),0),0)</f>
        <v>0</v>
      </c>
      <c r="BG17" s="499">
        <f ca="1">IFERROR(IF($T17&gt;=1,(IF($Q17=2,INDEX(DALLY!$N$10:$KZ$47,$U$4,MATCH($U17,DALLY!$N$10:$KZ$10,0)+BG$4)*D17/1000,0)),0),0)</f>
        <v>0</v>
      </c>
      <c r="BH17" s="499">
        <f ca="1">IFERROR(IF($T17&gt;=1,(IF($Q17=2,INDEX(DALLY!$N$10:$KZ$47,$U$4,MATCH($U17,DALLY!$N$10:$KZ$10,0)+BH$4)*E17/1000,0)),0),0)</f>
        <v>0</v>
      </c>
      <c r="BI17" s="499">
        <f ca="1">IFERROR(IF($T17&gt;=1,(IF($Q17=2,INDEX(DALLY!$N$10:$KZ$47,$U$4,MATCH($U17,DALLY!$N$10:$KZ$10,0)+BI$4)*F17/1000,0)),0),0)</f>
        <v>0</v>
      </c>
      <c r="BJ17" s="499">
        <f ca="1">IFERROR(IF($T17&gt;=1,(IF($Q17=2,INDEX(DALLY!$N$10:$KZ$47,$U$4,MATCH($U17,DALLY!$N$10:$KZ$10,0)+BJ$4)*G17/1000,0)),0),0)</f>
        <v>0</v>
      </c>
      <c r="BK17" s="499">
        <f ca="1">IFERROR(IF($T17&gt;=1,(IF($Q17=2,INDEX(DALLY!$N$10:$KZ$47,$U$4,MATCH($U17,DALLY!$N$10:$KZ$10,0)+BK$4)*H17/1000,0)),0),0)</f>
        <v>0</v>
      </c>
      <c r="BL17" s="499">
        <f ca="1">IFERROR(IF($T17&gt;=1,(IF($Q17=2,INDEX(DALLY!$N$10:$KZ$47,$U$4,MATCH($U17,DALLY!$N$10:$KZ$10,0)+BL$4)*I17/1000,0)),0),0)</f>
        <v>0</v>
      </c>
    </row>
    <row r="18" spans="1:64" ht="24.95" customHeight="1" x14ac:dyDescent="0.25">
      <c r="A18" s="52">
        <f>PROFILE!D14</f>
        <v>43891</v>
      </c>
      <c r="B18" s="3">
        <f ca="1">IFERROR(IF($T18&gt;=1,VLOOKUP($U18,HOME!$D$7:$AA$18,B$7,0),0),0)</f>
        <v>0</v>
      </c>
      <c r="C18" s="3">
        <f ca="1">IFERROR(IF($T18&gt;=1,VLOOKUP($U18,HOME!$D$7:$AA$18,C$7,0),0),0)</f>
        <v>0</v>
      </c>
      <c r="D18" s="3">
        <f ca="1">IFERROR(IF($T18&gt;=1,VLOOKUP($U18,HOME!$D$7:$AA$18,D$7,0),0),0)</f>
        <v>0</v>
      </c>
      <c r="E18" s="3">
        <f ca="1">IFERROR(IF($T18&gt;=1,VLOOKUP($U18,HOME!$D$7:$AA$18,E$7,0),0),0)</f>
        <v>0</v>
      </c>
      <c r="F18" s="3">
        <f ca="1">IFERROR(IF($T18&gt;=1,VLOOKUP($U18,HOME!$D$7:$AA$18,F$7,0),0),0)</f>
        <v>0</v>
      </c>
      <c r="G18" s="3">
        <f ca="1">IFERROR(IF($T18&gt;=1,VLOOKUP($U18,HOME!$D$7:$AA$18,G$7,0),0),0)</f>
        <v>0</v>
      </c>
      <c r="H18" s="3">
        <f ca="1">IFERROR(IF($T18&gt;=1,VLOOKUP($U18,HOME!$D$7:$AA$18,H$7,0),0),0)</f>
        <v>0</v>
      </c>
      <c r="I18" s="3">
        <f ca="1">IFERROR(IF($T18&gt;=1,VLOOKUP($U18,HOME!$D$7:$AA$18,I$7,0),0),0)</f>
        <v>0</v>
      </c>
      <c r="J18" s="408">
        <f ca="1">IFERROR(IF($T18&gt;=1,VLOOKUP($U18,HOME!$D$7:$AA$18,J$7,0),0),0)</f>
        <v>0</v>
      </c>
      <c r="K18" s="408">
        <f ca="1">IFERROR(IF($T18&gt;=1,VLOOKUP($U18,HOME!$D$7:$AA$18,K$7,0),0),0)</f>
        <v>0</v>
      </c>
      <c r="L18" s="3">
        <f ca="1">IFERROR(IF($T18&gt;=1,VLOOKUP($U18,HOME!$D$7:$AA$18,L$7,0),0),0)</f>
        <v>0</v>
      </c>
      <c r="M18" s="3">
        <f ca="1">IFERROR(IF($T18&gt;=1,VLOOKUP($U18,HOME!$D$7:$AA$18,M$7,0),0),0)</f>
        <v>0</v>
      </c>
      <c r="N18" s="408">
        <f ca="1">IFERROR(IF($T18&gt;=1,VLOOKUP($U18,HOME!$D$7:$AA$18,N$7,0),0),0)</f>
        <v>0</v>
      </c>
      <c r="O18" s="408">
        <f ca="1">IFERROR(IF($T18&gt;=1,VLOOKUP($U18,HOME!$D$7:$AA$18,O$7,0),0),0)</f>
        <v>0</v>
      </c>
      <c r="P18" s="408">
        <f ca="1">IFERROR(IF($T18&gt;=1,VLOOKUP($U18,HOME!$D$7:$AA$18,P$7,0),0),0)</f>
        <v>0</v>
      </c>
      <c r="Q18" s="3">
        <f>IF(LEN(PROFILE!L14)&gt;=2,VLOOKUP(PROFILE!L14,PROFILE!$AM$2:$AN$3,2,0),0)</f>
        <v>0</v>
      </c>
      <c r="S18" s="3">
        <f t="shared" ca="1" si="0"/>
        <v>0</v>
      </c>
      <c r="T18" s="18">
        <f ca="1">IF($A$4&gt;=A18,PROFILE!G14,0)</f>
        <v>0</v>
      </c>
      <c r="U18" s="19" t="str">
        <f>PROFILE!H14</f>
        <v>मार्च 2020</v>
      </c>
      <c r="V18" s="494">
        <f t="shared" ca="1" si="3"/>
        <v>0</v>
      </c>
      <c r="W18" s="495">
        <f t="shared" ca="1" si="4"/>
        <v>0</v>
      </c>
      <c r="X18" s="496">
        <f t="shared" ca="1" si="5"/>
        <v>0</v>
      </c>
      <c r="Y18" s="496">
        <f t="shared" ca="1" si="6"/>
        <v>0</v>
      </c>
      <c r="Z18" s="497">
        <f ca="1">IFERROR(IF($T18&gt;=1,INDEX(DALLY!$N$10:$KZ$47,$U$4,MATCH($U18,DALLY!$N$10:$KZ$10,0)+V$4),0),0)</f>
        <v>0</v>
      </c>
      <c r="AA18" s="497">
        <f ca="1">IFERROR(IF($T18&gt;=1,INDEX(DALLY!$N$10:$KZ$47,$U$4,MATCH($U18,DALLY!$N$10:$KZ$10,0)+W$4),0),0)</f>
        <v>0</v>
      </c>
      <c r="AB18" s="497">
        <f ca="1">IFERROR(IF($T18&gt;=1,INDEX(DALLY!$N$10:$KZ$47,$U$4,MATCH($U18,DALLY!$N$10:$KZ$10,0)+X$4),0),0)</f>
        <v>0</v>
      </c>
      <c r="AC18" s="497">
        <f ca="1">IFERROR(IF($T18&gt;=1,INDEX(DALLY!$N$10:$KZ$47,$U$4,MATCH($U18,DALLY!$N$10:$KZ$10,0)+Y$4),0),0)</f>
        <v>0</v>
      </c>
      <c r="AD18" s="498">
        <f ca="1">IFERROR(IF($T18&gt;=1,INDEX(DALLY!$N$10:$KZ$47,$U$3,MATCH($U18,DALLY!$N$10:$KZ$10,0)+Z$4),0),0)</f>
        <v>0</v>
      </c>
      <c r="AE18" s="498">
        <f ca="1">IFERROR(IF($T18&gt;=1,INDEX(DALLY!$N$10:$KZ$47,$U$3,MATCH($U18,DALLY!$N$10:$KZ$10,0)+AA$4),0),0)</f>
        <v>0</v>
      </c>
      <c r="AF18" s="498">
        <f ca="1">IFERROR(IF($T18&gt;=1,INDEX(DALLY!$N$10:$KZ$47,$U$3,MATCH($U18,DALLY!$N$10:$KZ$10,0)+AB$4),0),0)</f>
        <v>0</v>
      </c>
      <c r="AG18" s="498">
        <f ca="1">IFERROR(IF($T18&gt;=1,INDEX(DALLY!$N$10:$KZ$47,$U$3,MATCH($U18,DALLY!$N$10:$KZ$10,0)+AC$4),0),0)</f>
        <v>0</v>
      </c>
      <c r="AH18" s="499">
        <f ca="1">IFERROR(IF($T18&gt;=1,INDEX(DALLY!$N$10:$KZ$47,$U$4,MATCH($U18,DALLY!$N$10:$KZ$10,0)+AD$4)*B18/1000,0),0)</f>
        <v>0</v>
      </c>
      <c r="AI18" s="499">
        <f ca="1">IFERROR(IF($T18&gt;=1,INDEX(DALLY!$N$10:$KZ$47,$U$3,MATCH($U18,DALLY!$N$10:$KZ$10,0)+AE$4)*B18/1000,0),0)</f>
        <v>0</v>
      </c>
      <c r="AJ18" s="499">
        <f ca="1">IFERROR(IF($T18&gt;=1,INDEX(DALLY!$N$10:$KZ$47,$U$4,MATCH($U18,DALLY!$N$10:$KZ$10,0)+AF$4)*C18/1000,0),0)</f>
        <v>0</v>
      </c>
      <c r="AK18" s="499">
        <f ca="1">IFERROR(IF($T18&gt;=1,INDEX(DALLY!$N$10:$KZ$47,$U$3,MATCH($U18,DALLY!$N$10:$KZ$10,0)+AG$4)*C18/1000,0),0)</f>
        <v>0</v>
      </c>
      <c r="AL18" s="500">
        <f ca="1">IFERROR(IF($T18&gt;=1,INDEX(DALLY!$N$10:$KZ$47,$U$4,MATCH($U18,DALLY!$N$10:$KZ$10,0)+AH$4)*N18/1000,0),0)</f>
        <v>0</v>
      </c>
      <c r="AM18" s="500">
        <f ca="1">IFERROR(IF($T18&gt;=1,INDEX(DALLY!$N$10:$KZ$47,$U$4,MATCH($U18,DALLY!$N$10:$KZ$10,0)+AI$4)*O18/1000,0),0)</f>
        <v>0</v>
      </c>
      <c r="AN18" s="500">
        <f t="shared" ca="1" si="1"/>
        <v>0</v>
      </c>
      <c r="AO18" s="495">
        <f t="shared" ca="1" si="7"/>
        <v>0</v>
      </c>
      <c r="AP18" s="495">
        <f t="shared" ca="1" si="8"/>
        <v>0</v>
      </c>
      <c r="AQ18" s="495">
        <f t="shared" ca="1" si="9"/>
        <v>0</v>
      </c>
      <c r="AR18" s="495">
        <f t="shared" ca="1" si="10"/>
        <v>0</v>
      </c>
      <c r="AS18" s="495">
        <f t="shared" ca="1" si="11"/>
        <v>0</v>
      </c>
      <c r="AT18" s="495">
        <f t="shared" ca="1" si="12"/>
        <v>0</v>
      </c>
      <c r="AU18" s="497">
        <f ca="1">IFERROR(IF($T18&gt;=1,INDEX(DALLY!$N$10:$KZ$47,$U$4,MATCH($U18,DALLY!$N$10:$KZ$10,0)+AU$4),0),0)</f>
        <v>0</v>
      </c>
      <c r="AV18" s="497">
        <f ca="1">IFERROR(IF($T18&gt;=1,INDEX(DALLY!$N$10:$KZ$47,$U$4,MATCH($U18,DALLY!$N$10:$KZ$10,0)+AV$4),0),0)</f>
        <v>0</v>
      </c>
      <c r="AW18" s="497">
        <f ca="1">IFERROR(IF($T18&gt;=1,INDEX(DALLY!$N$10:$KZ$47,$U$4,MATCH($U18,DALLY!$N$10:$KZ$10,0)+AW$4),0),0)</f>
        <v>0</v>
      </c>
      <c r="AX18" s="497">
        <f ca="1">IFERROR(IF($T18&gt;=1,INDEX(DALLY!$N$10:$KZ$47,$U$4,MATCH($U18,DALLY!$N$10:$KZ$10,0)+AX$4),0),0)</f>
        <v>0</v>
      </c>
      <c r="AY18" s="497">
        <f ca="1">IFERROR(IF($T18&gt;=1,INDEX(DALLY!$N$10:$KZ$47,$U$4,MATCH($U18,DALLY!$N$10:$KZ$10,0)+AY$4),0),0)</f>
        <v>0</v>
      </c>
      <c r="AZ18" s="497">
        <f ca="1">IFERROR(IF($T18&gt;=1,INDEX(DALLY!$N$10:$KZ$47,$U$4,MATCH($U18,DALLY!$N$10:$KZ$10,0)+AZ$4),0),0)</f>
        <v>0</v>
      </c>
      <c r="BA18" s="498">
        <f ca="1">IFERROR(IF($T18&gt;=1,INDEX(DALLY!$N$10:$KZ$47,$U$3,MATCH($U18,DALLY!$N$10:$KZ$10,0)+BA$4),0),0)</f>
        <v>0</v>
      </c>
      <c r="BB18" s="498">
        <f ca="1">IFERROR(IF($T18&gt;=1,INDEX(DALLY!$N$10:$KZ$47,$U$3,MATCH($U18,DALLY!$N$10:$KZ$10,0)+BB$4),0),0)</f>
        <v>0</v>
      </c>
      <c r="BC18" s="498">
        <f ca="1">IFERROR(IF($T18&gt;=1,INDEX(DALLY!$N$10:$KZ$47,$U$3,MATCH($U18,DALLY!$N$10:$KZ$10,0)+BC$4),0),0)</f>
        <v>0</v>
      </c>
      <c r="BD18" s="498">
        <f ca="1">IFERROR(IF($T18&gt;=1,INDEX(DALLY!$N$10:$KZ$47,$U$3,MATCH($U18,DALLY!$N$10:$KZ$10,0)+BD$4),0),0)</f>
        <v>0</v>
      </c>
      <c r="BE18" s="498">
        <f ca="1">IFERROR(IF($T18&gt;=1,INDEX(DALLY!$N$10:$KZ$47,$U$3,MATCH($U18,DALLY!$N$10:$KZ$10,0)+BE$4),0),0)</f>
        <v>0</v>
      </c>
      <c r="BF18" s="498">
        <f ca="1">IFERROR(IF($T18&gt;=1,INDEX(DALLY!$N$10:$KZ$47,$U$3,MATCH($U18,DALLY!$N$10:$KZ$10,0)+BF$4),0),0)</f>
        <v>0</v>
      </c>
      <c r="BG18" s="499">
        <f ca="1">IFERROR(IF($T18&gt;=1,(IF($Q18=2,INDEX(DALLY!$N$10:$KZ$47,$U$4,MATCH($U18,DALLY!$N$10:$KZ$10,0)+BG$4)*D18/1000,0)),0),0)</f>
        <v>0</v>
      </c>
      <c r="BH18" s="499">
        <f ca="1">IFERROR(IF($T18&gt;=1,(IF($Q18=2,INDEX(DALLY!$N$10:$KZ$47,$U$4,MATCH($U18,DALLY!$N$10:$KZ$10,0)+BH$4)*E18/1000,0)),0),0)</f>
        <v>0</v>
      </c>
      <c r="BI18" s="499">
        <f ca="1">IFERROR(IF($T18&gt;=1,(IF($Q18=2,INDEX(DALLY!$N$10:$KZ$47,$U$4,MATCH($U18,DALLY!$N$10:$KZ$10,0)+BI$4)*F18/1000,0)),0),0)</f>
        <v>0</v>
      </c>
      <c r="BJ18" s="499">
        <f ca="1">IFERROR(IF($T18&gt;=1,(IF($Q18=2,INDEX(DALLY!$N$10:$KZ$47,$U$4,MATCH($U18,DALLY!$N$10:$KZ$10,0)+BJ$4)*G18/1000,0)),0),0)</f>
        <v>0</v>
      </c>
      <c r="BK18" s="499">
        <f ca="1">IFERROR(IF($T18&gt;=1,(IF($Q18=2,INDEX(DALLY!$N$10:$KZ$47,$U$4,MATCH($U18,DALLY!$N$10:$KZ$10,0)+BK$4)*H18/1000,0)),0),0)</f>
        <v>0</v>
      </c>
      <c r="BL18" s="499">
        <f ca="1">IFERROR(IF($T18&gt;=1,(IF($Q18=2,INDEX(DALLY!$N$10:$KZ$47,$U$4,MATCH($U18,DALLY!$N$10:$KZ$10,0)+BL$4)*I18/1000,0)),0),0)</f>
        <v>0</v>
      </c>
    </row>
    <row r="19" spans="1:64" ht="24.95" customHeight="1" x14ac:dyDescent="0.25">
      <c r="A19" s="52">
        <f>PROFILE!D15</f>
        <v>43922</v>
      </c>
      <c r="B19" s="3">
        <f ca="1">IFERROR(IF($T19&gt;=1,VLOOKUP($U19,HOME!$D$7:$AA$18,B$7,0),0),0)</f>
        <v>0</v>
      </c>
      <c r="C19" s="3">
        <f ca="1">IFERROR(IF($T19&gt;=1,VLOOKUP($U19,HOME!$D$7:$AA$18,C$7,0),0),0)</f>
        <v>0</v>
      </c>
      <c r="D19" s="3">
        <f ca="1">IFERROR(IF($T19&gt;=1,VLOOKUP($U19,HOME!$D$7:$AA$18,D$7,0),0),0)</f>
        <v>0</v>
      </c>
      <c r="E19" s="3">
        <f ca="1">IFERROR(IF($T19&gt;=1,VLOOKUP($U19,HOME!$D$7:$AA$18,E$7,0),0),0)</f>
        <v>0</v>
      </c>
      <c r="F19" s="3">
        <f ca="1">IFERROR(IF($T19&gt;=1,VLOOKUP($U19,HOME!$D$7:$AA$18,F$7,0),0),0)</f>
        <v>0</v>
      </c>
      <c r="G19" s="3">
        <f ca="1">IFERROR(IF($T19&gt;=1,VLOOKUP($U19,HOME!$D$7:$AA$18,G$7,0),0),0)</f>
        <v>0</v>
      </c>
      <c r="H19" s="3">
        <f ca="1">IFERROR(IF($T19&gt;=1,VLOOKUP($U19,HOME!$D$7:$AA$18,H$7,0),0),0)</f>
        <v>0</v>
      </c>
      <c r="I19" s="3">
        <f ca="1">IFERROR(IF($T19&gt;=1,VLOOKUP($U19,HOME!$D$7:$AA$18,I$7,0),0),0)</f>
        <v>0</v>
      </c>
      <c r="J19" s="408">
        <f ca="1">IFERROR(IF($T19&gt;=1,VLOOKUP($U19,HOME!$D$7:$AA$18,J$7,0),0),0)</f>
        <v>0</v>
      </c>
      <c r="K19" s="408">
        <f ca="1">IFERROR(IF($T19&gt;=1,VLOOKUP($U19,HOME!$D$7:$AA$18,K$7,0),0),0)</f>
        <v>0</v>
      </c>
      <c r="L19" s="3">
        <f ca="1">IFERROR(IF($T19&gt;=1,VLOOKUP($U19,HOME!$D$7:$AA$18,L$7,0),0),0)</f>
        <v>0</v>
      </c>
      <c r="M19" s="3">
        <f ca="1">IFERROR(IF($T19&gt;=1,VLOOKUP($U19,HOME!$D$7:$AA$18,M$7,0),0),0)</f>
        <v>0</v>
      </c>
      <c r="N19" s="408">
        <f ca="1">IFERROR(IF($T19&gt;=1,VLOOKUP($U19,HOME!$D$7:$AA$18,N$7,0),0),0)</f>
        <v>0</v>
      </c>
      <c r="O19" s="408">
        <f ca="1">IFERROR(IF($T19&gt;=1,VLOOKUP($U19,HOME!$D$7:$AA$18,O$7,0),0),0)</f>
        <v>0</v>
      </c>
      <c r="P19" s="408">
        <f ca="1">IFERROR(IF($T19&gt;=1,VLOOKUP($U19,HOME!$D$7:$AA$18,P$7,0),0),0)</f>
        <v>0</v>
      </c>
      <c r="Q19" s="3">
        <f>IF(LEN(PROFILE!L15)&gt;=2,VLOOKUP(PROFILE!L15,PROFILE!$AM$2:$AN$3,2,0),0)</f>
        <v>0</v>
      </c>
      <c r="S19" s="3">
        <f t="shared" ca="1" si="0"/>
        <v>0</v>
      </c>
      <c r="T19" s="18">
        <f ca="1">IF($A$4&gt;=A19,PROFILE!G15,0)</f>
        <v>0</v>
      </c>
      <c r="U19" s="19" t="str">
        <f>PROFILE!H15</f>
        <v>अप्रैल 2020</v>
      </c>
      <c r="V19" s="494">
        <f t="shared" ca="1" si="3"/>
        <v>0</v>
      </c>
      <c r="W19" s="494">
        <f t="shared" ca="1" si="4"/>
        <v>0</v>
      </c>
      <c r="X19" s="494">
        <f t="shared" ca="1" si="5"/>
        <v>0</v>
      </c>
      <c r="Y19" s="494">
        <f t="shared" ca="1" si="6"/>
        <v>0</v>
      </c>
      <c r="Z19" s="497">
        <f ca="1">IFERROR(IF($T19&gt;=1,INDEX(DALLY!$N$10:$KZ$47,$U$4,MATCH($U19,DALLY!$N$10:$KZ$10,0)+V$4),0),0)</f>
        <v>0</v>
      </c>
      <c r="AA19" s="497">
        <f ca="1">IFERROR(IF($T19&gt;=1,INDEX(DALLY!$N$10:$KZ$47,$U$4,MATCH($U19,DALLY!$N$10:$KZ$10,0)+W$4),0),0)</f>
        <v>0</v>
      </c>
      <c r="AB19" s="497">
        <f ca="1">IFERROR(IF($T19&gt;=1,INDEX(DALLY!$N$10:$KZ$47,$U$4,MATCH($U19,DALLY!$N$10:$KZ$10,0)+X$4),0),0)</f>
        <v>0</v>
      </c>
      <c r="AC19" s="497">
        <f ca="1">IFERROR(IF($T19&gt;=1,INDEX(DALLY!$N$10:$KZ$47,$U$4,MATCH($U19,DALLY!$N$10:$KZ$10,0)+Y$4),0),0)</f>
        <v>0</v>
      </c>
      <c r="AD19" s="498">
        <f ca="1">IFERROR(IF($T19&gt;=1,INDEX(DALLY!$N$10:$KZ$47,$U$3,MATCH($U19,DALLY!$N$10:$KZ$10,0)+Z$4),0),0)</f>
        <v>0</v>
      </c>
      <c r="AE19" s="498">
        <f ca="1">IFERROR(IF($T19&gt;=1,INDEX(DALLY!$N$10:$KZ$47,$U$3,MATCH($U19,DALLY!$N$10:$KZ$10,0)+AA$4),0),0)</f>
        <v>0</v>
      </c>
      <c r="AF19" s="498">
        <f ca="1">IFERROR(IF($T19&gt;=1,INDEX(DALLY!$N$10:$KZ$47,$U$3,MATCH($U19,DALLY!$N$10:$KZ$10,0)+AB$4),0),0)</f>
        <v>0</v>
      </c>
      <c r="AG19" s="498">
        <f ca="1">IFERROR(IF($T19&gt;=1,INDEX(DALLY!$N$10:$KZ$47,$U$3,MATCH($U19,DALLY!$N$10:$KZ$10,0)+AC$4),0),0)</f>
        <v>0</v>
      </c>
      <c r="AH19" s="499">
        <f ca="1">IFERROR(IF($T19&gt;=1,INDEX(DALLY!$N$10:$KZ$47,$U$4,MATCH($U19,DALLY!$N$10:$KZ$10,0)+AD$4)*B19/1000,0),0)</f>
        <v>0</v>
      </c>
      <c r="AI19" s="499">
        <f ca="1">IFERROR(IF($T19&gt;=1,INDEX(DALLY!$N$10:$KZ$47,$U$3,MATCH($U19,DALLY!$N$10:$KZ$10,0)+AE$4)*B19/1000,0),0)</f>
        <v>0</v>
      </c>
      <c r="AJ19" s="499">
        <f ca="1">IFERROR(IF($T19&gt;=1,INDEX(DALLY!$N$10:$KZ$47,$U$4,MATCH($U19,DALLY!$N$10:$KZ$10,0)+AF$4)*C19/1000,0),0)</f>
        <v>0</v>
      </c>
      <c r="AK19" s="499">
        <f ca="1">IFERROR(IF($T19&gt;=1,INDEX(DALLY!$N$10:$KZ$47,$U$3,MATCH($U19,DALLY!$N$10:$KZ$10,0)+AG$4)*C19/1000,0),0)</f>
        <v>0</v>
      </c>
      <c r="AL19" s="500">
        <f ca="1">IFERROR(IF($T19&gt;=1,INDEX(DALLY!$N$10:$KZ$47,$U$4,MATCH($U19,DALLY!$N$10:$KZ$10,0)+AH$4)*N19/1000,0),0)</f>
        <v>0</v>
      </c>
      <c r="AM19" s="500">
        <f ca="1">IFERROR(IF($T19&gt;=1,INDEX(DALLY!$N$10:$KZ$47,$U$4,MATCH($U19,DALLY!$N$10:$KZ$10,0)+AI$4)*O19/1000,0),0)</f>
        <v>0</v>
      </c>
      <c r="AN19" s="500">
        <f t="shared" ca="1" si="1"/>
        <v>0</v>
      </c>
      <c r="AO19" s="495">
        <f t="shared" ca="1" si="7"/>
        <v>0</v>
      </c>
      <c r="AP19" s="495">
        <f t="shared" ca="1" si="8"/>
        <v>0</v>
      </c>
      <c r="AQ19" s="495">
        <f t="shared" ca="1" si="9"/>
        <v>0</v>
      </c>
      <c r="AR19" s="495">
        <f t="shared" ca="1" si="10"/>
        <v>0</v>
      </c>
      <c r="AS19" s="495">
        <f t="shared" ca="1" si="11"/>
        <v>0</v>
      </c>
      <c r="AT19" s="495">
        <f t="shared" ca="1" si="12"/>
        <v>0</v>
      </c>
      <c r="AU19" s="497">
        <f ca="1">IFERROR(IF($T19&gt;=1,INDEX(DALLY!$N$10:$KZ$47,$U$4,MATCH($U19,DALLY!$N$10:$KZ$10,0)+AU$4),0),0)</f>
        <v>0</v>
      </c>
      <c r="AV19" s="497">
        <f ca="1">IFERROR(IF($T19&gt;=1,INDEX(DALLY!$N$10:$KZ$47,$U$4,MATCH($U19,DALLY!$N$10:$KZ$10,0)+AV$4),0),0)</f>
        <v>0</v>
      </c>
      <c r="AW19" s="497">
        <f ca="1">IFERROR(IF($T19&gt;=1,INDEX(DALLY!$N$10:$KZ$47,$U$4,MATCH($U19,DALLY!$N$10:$KZ$10,0)+AW$4),0),0)</f>
        <v>0</v>
      </c>
      <c r="AX19" s="497">
        <f ca="1">IFERROR(IF($T19&gt;=1,INDEX(DALLY!$N$10:$KZ$47,$U$4,MATCH($U19,DALLY!$N$10:$KZ$10,0)+AX$4),0),0)</f>
        <v>0</v>
      </c>
      <c r="AY19" s="497">
        <f ca="1">IFERROR(IF($T19&gt;=1,INDEX(DALLY!$N$10:$KZ$47,$U$4,MATCH($U19,DALLY!$N$10:$KZ$10,0)+AY$4),0),0)</f>
        <v>0</v>
      </c>
      <c r="AZ19" s="497">
        <f ca="1">IFERROR(IF($T19&gt;=1,INDEX(DALLY!$N$10:$KZ$47,$U$4,MATCH($U19,DALLY!$N$10:$KZ$10,0)+AZ$4),0),0)</f>
        <v>0</v>
      </c>
      <c r="BA19" s="498">
        <f ca="1">IFERROR(IF($T19&gt;=1,INDEX(DALLY!$N$10:$KZ$47,$U$3,MATCH($U19,DALLY!$N$10:$KZ$10,0)+BA$4),0),0)</f>
        <v>0</v>
      </c>
      <c r="BB19" s="498">
        <f ca="1">IFERROR(IF($T19&gt;=1,INDEX(DALLY!$N$10:$KZ$47,$U$3,MATCH($U19,DALLY!$N$10:$KZ$10,0)+BB$4),0),0)</f>
        <v>0</v>
      </c>
      <c r="BC19" s="498">
        <f ca="1">IFERROR(IF($T19&gt;=1,INDEX(DALLY!$N$10:$KZ$47,$U$3,MATCH($U19,DALLY!$N$10:$KZ$10,0)+BC$4),0),0)</f>
        <v>0</v>
      </c>
      <c r="BD19" s="498">
        <f ca="1">IFERROR(IF($T19&gt;=1,INDEX(DALLY!$N$10:$KZ$47,$U$3,MATCH($U19,DALLY!$N$10:$KZ$10,0)+BD$4),0),0)</f>
        <v>0</v>
      </c>
      <c r="BE19" s="498">
        <f ca="1">IFERROR(IF($T19&gt;=1,INDEX(DALLY!$N$10:$KZ$47,$U$3,MATCH($U19,DALLY!$N$10:$KZ$10,0)+BE$4),0),0)</f>
        <v>0</v>
      </c>
      <c r="BF19" s="498">
        <f ca="1">IFERROR(IF($T19&gt;=1,INDEX(DALLY!$N$10:$KZ$47,$U$3,MATCH($U19,DALLY!$N$10:$KZ$10,0)+BF$4),0),0)</f>
        <v>0</v>
      </c>
      <c r="BG19" s="499">
        <f ca="1">IFERROR(IF($T19&gt;=1,(IF($Q19=2,INDEX(DALLY!$N$10:$KZ$47,$U$4,MATCH($U19,DALLY!$N$10:$KZ$10,0)+BG$4)*D19/1000,0)),0),0)</f>
        <v>0</v>
      </c>
      <c r="BH19" s="499">
        <f ca="1">IFERROR(IF($T19&gt;=1,(IF($Q19=2,INDEX(DALLY!$N$10:$KZ$47,$U$4,MATCH($U19,DALLY!$N$10:$KZ$10,0)+BH$4)*E19/1000,0)),0),0)</f>
        <v>0</v>
      </c>
      <c r="BI19" s="499">
        <f ca="1">IFERROR(IF($T19&gt;=1,(IF($Q19=2,INDEX(DALLY!$N$10:$KZ$47,$U$4,MATCH($U19,DALLY!$N$10:$KZ$10,0)+BI$4)*F19/1000,0)),0),0)</f>
        <v>0</v>
      </c>
      <c r="BJ19" s="499">
        <f ca="1">IFERROR(IF($T19&gt;=1,(IF($Q19=2,INDEX(DALLY!$N$10:$KZ$47,$U$4,MATCH($U19,DALLY!$N$10:$KZ$10,0)+BJ$4)*G19/1000,0)),0),0)</f>
        <v>0</v>
      </c>
      <c r="BK19" s="499">
        <f ca="1">IFERROR(IF($T19&gt;=1,(IF($Q19=2,INDEX(DALLY!$N$10:$KZ$47,$U$4,MATCH($U19,DALLY!$N$10:$KZ$10,0)+BK$4)*H19/1000,0)),0),0)</f>
        <v>0</v>
      </c>
      <c r="BL19" s="499">
        <f ca="1">IFERROR(IF($T19&gt;=1,(IF($Q19=2,INDEX(DALLY!$N$10:$KZ$47,$U$4,MATCH($U19,DALLY!$N$10:$KZ$10,0)+BL$4)*I19/1000,0)),0),0)</f>
        <v>0</v>
      </c>
    </row>
    <row r="20" spans="1:64" ht="20.100000000000001" customHeight="1" x14ac:dyDescent="0.25">
      <c r="T20" s="953" t="s">
        <v>271</v>
      </c>
      <c r="U20" s="953"/>
      <c r="V20" s="251">
        <f ca="1">V8+Z20+AD20-AH20</f>
        <v>0</v>
      </c>
      <c r="W20" s="251">
        <f t="shared" ref="W20:Y20" ca="1" si="13">W8+AA20+AE20-AI20</f>
        <v>0</v>
      </c>
      <c r="X20" s="251">
        <f t="shared" ca="1" si="13"/>
        <v>0</v>
      </c>
      <c r="Y20" s="251">
        <f t="shared" ca="1" si="13"/>
        <v>0</v>
      </c>
      <c r="Z20" s="247">
        <f ca="1">SUM(Z8:Z19)</f>
        <v>0</v>
      </c>
      <c r="AA20" s="247">
        <f t="shared" ref="AA20:AD20" ca="1" si="14">SUM(AA8:AA19)</f>
        <v>0</v>
      </c>
      <c r="AB20" s="247">
        <f t="shared" ca="1" si="14"/>
        <v>0</v>
      </c>
      <c r="AC20" s="247">
        <f t="shared" ca="1" si="14"/>
        <v>0</v>
      </c>
      <c r="AD20" s="248">
        <f t="shared" ca="1" si="14"/>
        <v>0</v>
      </c>
      <c r="AE20" s="248">
        <f t="shared" ref="AE20" ca="1" si="15">SUM(AE8:AE19)</f>
        <v>0</v>
      </c>
      <c r="AF20" s="248">
        <f t="shared" ref="AF20" ca="1" si="16">SUM(AF8:AF19)</f>
        <v>0</v>
      </c>
      <c r="AG20" s="248">
        <f t="shared" ref="AG20" ca="1" si="17">SUM(AG8:AG19)</f>
        <v>0</v>
      </c>
      <c r="AH20" s="249">
        <f t="shared" ref="AH20" ca="1" si="18">SUM(AH8:AH19)</f>
        <v>0</v>
      </c>
      <c r="AI20" s="249">
        <f t="shared" ref="AI20" ca="1" si="19">SUM(AI8:AI19)</f>
        <v>0</v>
      </c>
      <c r="AJ20" s="249">
        <f t="shared" ref="AJ20" ca="1" si="20">SUM(AJ8:AJ19)</f>
        <v>0</v>
      </c>
      <c r="AK20" s="249">
        <f t="shared" ref="AK20" ca="1" si="21">SUM(AK8:AK19)</f>
        <v>0</v>
      </c>
      <c r="AL20" s="250">
        <f t="shared" ref="AL20" ca="1" si="22">SUM(AL8:AL19)</f>
        <v>0</v>
      </c>
      <c r="AM20" s="250">
        <f t="shared" ref="AM20" ca="1" si="23">SUM(AM8:AM19)</f>
        <v>0</v>
      </c>
      <c r="AN20" s="250">
        <f t="shared" ref="AN20" ca="1" si="24">SUM(AN8:AN19)</f>
        <v>0</v>
      </c>
      <c r="AO20" s="251">
        <f ca="1">AO8+AU20+BA20-BG20</f>
        <v>0</v>
      </c>
      <c r="AP20" s="251">
        <f t="shared" ref="AP20:AT20" ca="1" si="25">AP8+AV20+BB20-BH20</f>
        <v>0</v>
      </c>
      <c r="AQ20" s="251">
        <f t="shared" ca="1" si="25"/>
        <v>0</v>
      </c>
      <c r="AR20" s="251">
        <f t="shared" ca="1" si="25"/>
        <v>0</v>
      </c>
      <c r="AS20" s="251">
        <f t="shared" ca="1" si="25"/>
        <v>0</v>
      </c>
      <c r="AT20" s="251">
        <f t="shared" ca="1" si="25"/>
        <v>0</v>
      </c>
      <c r="AU20" s="247">
        <f t="shared" ref="AU20" ca="1" si="26">SUM(AU8:AU19)</f>
        <v>0</v>
      </c>
      <c r="AV20" s="247">
        <f t="shared" ref="AV20" ca="1" si="27">SUM(AV8:AV19)</f>
        <v>0</v>
      </c>
      <c r="AW20" s="247">
        <f t="shared" ref="AW20" ca="1" si="28">SUM(AW8:AW19)</f>
        <v>0</v>
      </c>
      <c r="AX20" s="247">
        <f t="shared" ref="AX20" ca="1" si="29">SUM(AX8:AX19)</f>
        <v>0</v>
      </c>
      <c r="AY20" s="247">
        <f t="shared" ref="AY20" ca="1" si="30">SUM(AY8:AY19)</f>
        <v>0</v>
      </c>
      <c r="AZ20" s="247">
        <f t="shared" ref="AZ20" ca="1" si="31">SUM(AZ8:AZ19)</f>
        <v>0</v>
      </c>
      <c r="BA20" s="248">
        <f t="shared" ref="BA20" ca="1" si="32">SUM(BA8:BA19)</f>
        <v>0</v>
      </c>
      <c r="BB20" s="245"/>
      <c r="BC20" s="245"/>
      <c r="BD20" s="245"/>
      <c r="BE20" s="245"/>
      <c r="BF20" s="245"/>
      <c r="BG20" s="246"/>
      <c r="BH20" s="246"/>
      <c r="BI20" s="246"/>
      <c r="BJ20" s="246"/>
      <c r="BK20" s="246"/>
      <c r="BL20" s="246"/>
    </row>
    <row r="21" spans="1:64" ht="20.100000000000001" customHeight="1" x14ac:dyDescent="0.25"/>
    <row r="22" spans="1:64" ht="20.100000000000001" customHeight="1" x14ac:dyDescent="0.25"/>
    <row r="23" spans="1:64" ht="20.100000000000001" customHeight="1" x14ac:dyDescent="0.25"/>
    <row r="24" spans="1:64" ht="20.100000000000001" customHeight="1" x14ac:dyDescent="0.25"/>
    <row r="25" spans="1:64" ht="20.100000000000001" customHeight="1" x14ac:dyDescent="0.25"/>
    <row r="26" spans="1:64" ht="20.100000000000001" customHeight="1" x14ac:dyDescent="0.25"/>
    <row r="27" spans="1:64" ht="20.100000000000001" customHeight="1" x14ac:dyDescent="0.25"/>
    <row r="28" spans="1:64" ht="20.100000000000001" customHeight="1" x14ac:dyDescent="0.25"/>
    <row r="29" spans="1:64" ht="20.100000000000001" customHeight="1" x14ac:dyDescent="0.25"/>
    <row r="30" spans="1:64" ht="20.100000000000001" customHeight="1" x14ac:dyDescent="0.25"/>
    <row r="31" spans="1:64" ht="20.100000000000001" customHeight="1" x14ac:dyDescent="0.25"/>
    <row r="32" spans="1:64" ht="20.100000000000001" customHeight="1" x14ac:dyDescent="0.25"/>
  </sheetData>
  <sheetProtection password="C973" sheet="1" objects="1" scenarios="1"/>
  <mergeCells count="31">
    <mergeCell ref="T20:U20"/>
    <mergeCell ref="BA5:BF5"/>
    <mergeCell ref="BG5:BL5"/>
    <mergeCell ref="AX6:AZ6"/>
    <mergeCell ref="BA6:BC6"/>
    <mergeCell ref="BD6:BF6"/>
    <mergeCell ref="BG6:BI6"/>
    <mergeCell ref="BJ6:BL6"/>
    <mergeCell ref="AU6:AW6"/>
    <mergeCell ref="T5:T7"/>
    <mergeCell ref="U5:U7"/>
    <mergeCell ref="X6:Y6"/>
    <mergeCell ref="V6:W6"/>
    <mergeCell ref="AH6:AI6"/>
    <mergeCell ref="AD6:AE6"/>
    <mergeCell ref="AR6:AT6"/>
    <mergeCell ref="AL5:AN5"/>
    <mergeCell ref="AU5:AZ5"/>
    <mergeCell ref="AJ6:AK6"/>
    <mergeCell ref="V5:Y5"/>
    <mergeCell ref="Z5:AC5"/>
    <mergeCell ref="AD5:AG5"/>
    <mergeCell ref="AH5:AK5"/>
    <mergeCell ref="Z6:AA6"/>
    <mergeCell ref="AO5:AT5"/>
    <mergeCell ref="AO6:AQ6"/>
    <mergeCell ref="AB6:AC6"/>
    <mergeCell ref="AF6:AG6"/>
    <mergeCell ref="AL6:AL7"/>
    <mergeCell ref="AM6:AM7"/>
    <mergeCell ref="AN6:AN7"/>
  </mergeCells>
  <conditionalFormatting sqref="T8:U19">
    <cfRule type="expression" dxfId="142" priority="9">
      <formula>$S8=0</formula>
    </cfRule>
  </conditionalFormatting>
  <conditionalFormatting sqref="V8:BL19">
    <cfRule type="expression" dxfId="141" priority="6">
      <formula>$S8=0</formula>
    </cfRule>
    <cfRule type="expression" dxfId="140" priority="7">
      <formula>$S8=1</formula>
    </cfRule>
  </conditionalFormatting>
  <conditionalFormatting sqref="T8:BL19">
    <cfRule type="expression" dxfId="139" priority="5">
      <formula>$A$4&lt;=$A8</formula>
    </cfRule>
  </conditionalFormatting>
  <conditionalFormatting sqref="V8:BL8">
    <cfRule type="cellIs" dxfId="138" priority="4" operator="equal">
      <formula>0</formula>
    </cfRule>
  </conditionalFormatting>
  <conditionalFormatting sqref="V9:BL9">
    <cfRule type="cellIs" dxfId="137" priority="3" operator="equal">
      <formula>0</formula>
    </cfRule>
  </conditionalFormatting>
  <conditionalFormatting sqref="V10:BL10 V12:BL12 V14:BL14 V16:BL16 V18:BL18">
    <cfRule type="cellIs" dxfId="136" priority="2" operator="equal">
      <formula>0</formula>
    </cfRule>
  </conditionalFormatting>
  <conditionalFormatting sqref="V11:BL11 V13:BL13 V15:BL15 V17:BL17 V19:BL19">
    <cfRule type="cellIs" dxfId="135" priority="1" operator="equal">
      <formula>0</formula>
    </cfRule>
  </conditionalFormatting>
  <pageMargins left="0" right="0" top="0" bottom="0" header="0" footer="0"/>
  <pageSetup paperSize="9" scale="40" orientation="landscape"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499984740745262"/>
  </sheetPr>
  <dimension ref="A1:AT20"/>
  <sheetViews>
    <sheetView view="pageBreakPreview" topLeftCell="AF5" zoomScaleNormal="100" zoomScaleSheetLayoutView="100" workbookViewId="0">
      <pane xSplit="2" ySplit="3" topLeftCell="AH8" activePane="bottomRight" state="frozen"/>
      <selection activeCell="AF5" sqref="AF5"/>
      <selection pane="topRight" activeCell="AH5" sqref="AH5"/>
      <selection pane="bottomLeft" activeCell="AF8" sqref="AF8"/>
      <selection pane="bottomRight" activeCell="AK8" sqref="AK8:AM8"/>
    </sheetView>
  </sheetViews>
  <sheetFormatPr defaultRowHeight="15" x14ac:dyDescent="0.25"/>
  <cols>
    <col min="1" max="1" width="11.7109375" style="3" hidden="1" customWidth="1"/>
    <col min="2" max="30" width="7.7109375" style="3" hidden="1" customWidth="1"/>
    <col min="31" max="31" width="3.7109375" style="3" hidden="1" customWidth="1"/>
    <col min="32" max="32" width="4.7109375" style="3" customWidth="1"/>
    <col min="33" max="33" width="20" style="3" customWidth="1"/>
    <col min="34" max="46" width="15.7109375" style="3" customWidth="1"/>
    <col min="47" max="16384" width="9.140625" style="3"/>
  </cols>
  <sheetData>
    <row r="1" spans="1:46" hidden="1" x14ac:dyDescent="0.25">
      <c r="A1" s="957"/>
      <c r="B1" s="957"/>
      <c r="C1" s="957"/>
      <c r="D1" s="957"/>
      <c r="E1" s="957"/>
      <c r="F1" s="957"/>
      <c r="G1" s="957"/>
      <c r="H1" s="957"/>
      <c r="I1" s="957"/>
      <c r="J1" s="957"/>
      <c r="K1" s="957"/>
      <c r="L1" s="957"/>
      <c r="M1" s="957"/>
      <c r="N1" s="957"/>
      <c r="O1" s="957"/>
      <c r="P1" s="957"/>
      <c r="Q1" s="957"/>
      <c r="R1" s="957"/>
      <c r="S1" s="957"/>
      <c r="T1" s="957"/>
      <c r="U1" s="957"/>
      <c r="V1" s="957"/>
      <c r="W1" s="957"/>
      <c r="X1" s="957"/>
      <c r="Y1" s="957"/>
      <c r="Z1" s="957"/>
      <c r="AA1" s="957"/>
      <c r="AB1" s="957"/>
      <c r="AC1" s="957"/>
      <c r="AD1" s="957"/>
      <c r="AE1" s="957"/>
      <c r="AF1" s="957"/>
      <c r="AG1" s="957"/>
    </row>
    <row r="2" spans="1:46" hidden="1" x14ac:dyDescent="0.25"/>
    <row r="3" spans="1:46" hidden="1" x14ac:dyDescent="0.25"/>
    <row r="4" spans="1:46" hidden="1" x14ac:dyDescent="0.25">
      <c r="A4" s="52">
        <f ca="1">PROFILE!D1</f>
        <v>43856</v>
      </c>
    </row>
    <row r="5" spans="1:46" ht="26.25" customHeight="1" x14ac:dyDescent="0.25">
      <c r="AF5" s="920" t="s">
        <v>40</v>
      </c>
      <c r="AG5" s="920" t="s">
        <v>172</v>
      </c>
      <c r="AH5" s="958" t="s">
        <v>171</v>
      </c>
      <c r="AI5" s="958"/>
      <c r="AJ5" s="958"/>
      <c r="AK5" s="939" t="s">
        <v>12</v>
      </c>
      <c r="AL5" s="939"/>
      <c r="AM5" s="939"/>
      <c r="AN5" s="959" t="s">
        <v>29</v>
      </c>
      <c r="AO5" s="959"/>
      <c r="AP5" s="959"/>
      <c r="AQ5" s="959"/>
      <c r="AR5" s="959"/>
      <c r="AS5" s="959"/>
      <c r="AT5" s="959"/>
    </row>
    <row r="6" spans="1:46" ht="18.75" x14ac:dyDescent="0.25">
      <c r="AF6" s="920"/>
      <c r="AG6" s="920"/>
      <c r="AH6" s="961" t="s">
        <v>78</v>
      </c>
      <c r="AI6" s="961" t="s">
        <v>77</v>
      </c>
      <c r="AJ6" s="961" t="s">
        <v>73</v>
      </c>
      <c r="AK6" s="939"/>
      <c r="AL6" s="939"/>
      <c r="AM6" s="939"/>
      <c r="AN6" s="960" t="s">
        <v>78</v>
      </c>
      <c r="AO6" s="960"/>
      <c r="AP6" s="960"/>
      <c r="AQ6" s="960" t="s">
        <v>77</v>
      </c>
      <c r="AR6" s="960" t="s">
        <v>73</v>
      </c>
      <c r="AS6" s="960"/>
      <c r="AT6" s="960"/>
    </row>
    <row r="7" spans="1:46" ht="18.75" x14ac:dyDescent="0.25">
      <c r="AF7" s="920"/>
      <c r="AG7" s="920"/>
      <c r="AH7" s="961"/>
      <c r="AI7" s="961"/>
      <c r="AJ7" s="961"/>
      <c r="AK7" s="285" t="s">
        <v>78</v>
      </c>
      <c r="AL7" s="285" t="s">
        <v>77</v>
      </c>
      <c r="AM7" s="285" t="s">
        <v>73</v>
      </c>
      <c r="AN7" s="17" t="s">
        <v>71</v>
      </c>
      <c r="AO7" s="17" t="s">
        <v>72</v>
      </c>
      <c r="AP7" s="286" t="s">
        <v>1</v>
      </c>
      <c r="AQ7" s="960"/>
      <c r="AR7" s="17" t="s">
        <v>71</v>
      </c>
      <c r="AS7" s="17" t="s">
        <v>72</v>
      </c>
      <c r="AT7" s="286" t="s">
        <v>1</v>
      </c>
    </row>
    <row r="8" spans="1:46" ht="24.95" customHeight="1" x14ac:dyDescent="0.25">
      <c r="A8" s="52">
        <f>PROFILE!D4</f>
        <v>43586</v>
      </c>
      <c r="AE8" s="3">
        <f ca="1">IF(AF8&gt;=1,MOD(AF8,2),0)</f>
        <v>1</v>
      </c>
      <c r="AF8" s="22">
        <f ca="1">PROFILE!G4</f>
        <v>1</v>
      </c>
      <c r="AG8" s="23" t="str">
        <f>PROFILE!H4</f>
        <v>मई 2019</v>
      </c>
      <c r="AH8" s="252"/>
      <c r="AI8" s="253"/>
      <c r="AJ8" s="254"/>
      <c r="AK8" s="252"/>
      <c r="AL8" s="253"/>
      <c r="AM8" s="254"/>
      <c r="AN8" s="24">
        <f ca="1">IF($AF8&gt;=1,(IF(DATA!$Q8=1,STUDENT!AC9*HOME!L7,IF(DATA!$Q8=2,((STUDENT!AC9-STUDENT!AG9)*HOME!L7)+STUDENT!AG9*HOME!N7,0))),0)</f>
        <v>0</v>
      </c>
      <c r="AO8" s="24">
        <f ca="1">IF($AF8&gt;=1,(IF(DATA!$Q8=1,STUDENT!AD9*HOME!M7,IF(DATA!$Q8=2,((STUDENT!AD9-STUDENT!AH9)*HOME!M7)+STUDENT!AH9*HOME!O7,0))),0)</f>
        <v>0</v>
      </c>
      <c r="AP8" s="257">
        <f ca="1">ROUND(AN8+AO8,0)</f>
        <v>0</v>
      </c>
      <c r="AQ8" s="255">
        <f ca="1">IF(AF8&gt;=1,STUDENT!AK9*HOME!AA7,0)</f>
        <v>0</v>
      </c>
      <c r="AR8" s="25">
        <f ca="1">IF($AF8&gt;=1,DATA!AL8*HOME!Z7,0)</f>
        <v>0</v>
      </c>
      <c r="AS8" s="25">
        <f ca="1">IF($AF8&gt;=1,DATA!AM8*HOME!Z7,0)</f>
        <v>0</v>
      </c>
      <c r="AT8" s="256">
        <f ca="1">ROUND(AR8+AS8,0)</f>
        <v>0</v>
      </c>
    </row>
    <row r="9" spans="1:46" ht="24.95" customHeight="1" x14ac:dyDescent="0.25">
      <c r="A9" s="52">
        <f>PROFILE!D5</f>
        <v>43617</v>
      </c>
      <c r="AE9" s="3">
        <f t="shared" ref="AE9:AE19" ca="1" si="0">IF(AF9&gt;=1,MOD(AF9,2),0)</f>
        <v>0</v>
      </c>
      <c r="AF9" s="22">
        <f ca="1">PROFILE!G5</f>
        <v>2</v>
      </c>
      <c r="AG9" s="23" t="str">
        <f>PROFILE!H5</f>
        <v>जून 2019</v>
      </c>
      <c r="AH9" s="24">
        <f ca="1">AH8+AK8-AP8</f>
        <v>0</v>
      </c>
      <c r="AI9" s="296">
        <f ca="1">AI8+AL8-AQ8</f>
        <v>0</v>
      </c>
      <c r="AJ9" s="297">
        <f ca="1">AJ8+AM8-AT8</f>
        <v>0</v>
      </c>
      <c r="AK9" s="252"/>
      <c r="AL9" s="253"/>
      <c r="AM9" s="254"/>
      <c r="AN9" s="24">
        <f ca="1">IF($AF9&gt;=1,(IF(DATA!$Q9=1,STUDENT!AC10*HOME!L8,IF(DATA!$Q9=2,((STUDENT!AC10-STUDENT!AG10)*HOME!L8)+STUDENT!AG10*HOME!N8,0))),0)</f>
        <v>0</v>
      </c>
      <c r="AO9" s="24">
        <f ca="1">IF($AF9&gt;=1,(IF(DATA!$Q9=1,STUDENT!AD10*HOME!M8,IF(DATA!$Q9=2,((STUDENT!AD10-STUDENT!AH10)*HOME!M8)+STUDENT!AH10*HOME!O8,0))),0)</f>
        <v>0</v>
      </c>
      <c r="AP9" s="257">
        <f t="shared" ref="AP9:AP19" ca="1" si="1">ROUND(AN9+AO9,0)</f>
        <v>0</v>
      </c>
      <c r="AQ9" s="255">
        <f ca="1">IF(AF9&gt;=1,STUDENT!AK10*HOME!AA8,0)</f>
        <v>0</v>
      </c>
      <c r="AR9" s="25">
        <f ca="1">IF($AF9&gt;=1,DATA!AL9*HOME!Z8,0)</f>
        <v>0</v>
      </c>
      <c r="AS9" s="25">
        <f ca="1">IF($AF9&gt;=1,DATA!AM9*HOME!Z8,0)</f>
        <v>0</v>
      </c>
      <c r="AT9" s="256">
        <f t="shared" ref="AT9:AT19" ca="1" si="2">ROUND(AR9+AS9,0)</f>
        <v>0</v>
      </c>
    </row>
    <row r="10" spans="1:46" ht="24.95" customHeight="1" x14ac:dyDescent="0.25">
      <c r="A10" s="52">
        <f>PROFILE!D6</f>
        <v>43647</v>
      </c>
      <c r="AE10" s="3">
        <f t="shared" ca="1" si="0"/>
        <v>1</v>
      </c>
      <c r="AF10" s="22">
        <f ca="1">PROFILE!G6</f>
        <v>3</v>
      </c>
      <c r="AG10" s="23" t="str">
        <f>PROFILE!H6</f>
        <v>जुलाई 2019</v>
      </c>
      <c r="AH10" s="24">
        <f t="shared" ref="AH10:AH19" ca="1" si="3">AH9+AK9-AP9</f>
        <v>0</v>
      </c>
      <c r="AI10" s="296">
        <f t="shared" ref="AI10:AI19" ca="1" si="4">AI9+AL9-AQ9</f>
        <v>0</v>
      </c>
      <c r="AJ10" s="297">
        <f t="shared" ref="AJ10:AJ19" ca="1" si="5">AJ9+AM9-AT9</f>
        <v>0</v>
      </c>
      <c r="AK10" s="252"/>
      <c r="AL10" s="253"/>
      <c r="AM10" s="254"/>
      <c r="AN10" s="24">
        <f ca="1">IF($AF10&gt;=1,(IF(DATA!$Q10=1,STUDENT!AC11*HOME!L9,IF(DATA!$Q10=2,((STUDENT!AC11-STUDENT!AG11)*HOME!L9)+STUDENT!AG11*HOME!N9,0))),0)</f>
        <v>0</v>
      </c>
      <c r="AO10" s="24">
        <f ca="1">IF($AF10&gt;=1,(IF(DATA!$Q10=1,STUDENT!AD11*HOME!M9,IF(DATA!$Q10=2,((STUDENT!AD11-STUDENT!AH11)*HOME!M9)+STUDENT!AH11*HOME!O9,0))),0)</f>
        <v>0</v>
      </c>
      <c r="AP10" s="257">
        <f t="shared" ca="1" si="1"/>
        <v>0</v>
      </c>
      <c r="AQ10" s="255">
        <f ca="1">IF(AF10&gt;=1,STUDENT!AK11*HOME!AA9,0)</f>
        <v>0</v>
      </c>
      <c r="AR10" s="25">
        <f ca="1">IF($AF10&gt;=1,DATA!AL10*HOME!Z9,0)</f>
        <v>0</v>
      </c>
      <c r="AS10" s="25">
        <f ca="1">IF($AF10&gt;=1,DATA!AM10*HOME!Z9,0)</f>
        <v>0</v>
      </c>
      <c r="AT10" s="256">
        <f t="shared" ca="1" si="2"/>
        <v>0</v>
      </c>
    </row>
    <row r="11" spans="1:46" ht="24.95" customHeight="1" x14ac:dyDescent="0.25">
      <c r="A11" s="52">
        <f>PROFILE!D7</f>
        <v>43678</v>
      </c>
      <c r="AE11" s="3">
        <f t="shared" ca="1" si="0"/>
        <v>0</v>
      </c>
      <c r="AF11" s="22">
        <f ca="1">PROFILE!G7</f>
        <v>4</v>
      </c>
      <c r="AG11" s="23" t="str">
        <f>PROFILE!H7</f>
        <v>अगस्त 2019</v>
      </c>
      <c r="AH11" s="24">
        <f t="shared" ca="1" si="3"/>
        <v>0</v>
      </c>
      <c r="AI11" s="296">
        <f t="shared" ca="1" si="4"/>
        <v>0</v>
      </c>
      <c r="AJ11" s="297">
        <f t="shared" ca="1" si="5"/>
        <v>0</v>
      </c>
      <c r="AK11" s="252"/>
      <c r="AL11" s="253"/>
      <c r="AM11" s="254"/>
      <c r="AN11" s="24">
        <f ca="1">IF($AF11&gt;=1,(IF(DATA!$Q11=1,STUDENT!AC12*HOME!L10,IF(DATA!$Q11=2,((STUDENT!AC12-STUDENT!AG12)*HOME!L10)+STUDENT!AG12*HOME!N10,0))),0)</f>
        <v>0</v>
      </c>
      <c r="AO11" s="24">
        <f ca="1">IF($AF11&gt;=1,(IF(DATA!$Q11=1,STUDENT!AD12*HOME!M10,IF(DATA!$Q11=2,((STUDENT!AD12-STUDENT!AH12)*HOME!M10)+STUDENT!AH12*HOME!O10,0))),0)</f>
        <v>0</v>
      </c>
      <c r="AP11" s="257">
        <f t="shared" ca="1" si="1"/>
        <v>0</v>
      </c>
      <c r="AQ11" s="255">
        <f ca="1">IF(AF11&gt;=1,STUDENT!AK12*HOME!AA10,0)</f>
        <v>0</v>
      </c>
      <c r="AR11" s="25">
        <f ca="1">IF($AF11&gt;=1,DATA!AL11*HOME!Z10,0)</f>
        <v>0</v>
      </c>
      <c r="AS11" s="25">
        <f ca="1">IF($AF11&gt;=1,DATA!AM11*HOME!Z10,0)</f>
        <v>0</v>
      </c>
      <c r="AT11" s="256">
        <f t="shared" ca="1" si="2"/>
        <v>0</v>
      </c>
    </row>
    <row r="12" spans="1:46" ht="24.95" customHeight="1" x14ac:dyDescent="0.25">
      <c r="A12" s="52">
        <f>PROFILE!D8</f>
        <v>43709</v>
      </c>
      <c r="AE12" s="3">
        <f t="shared" ca="1" si="0"/>
        <v>1</v>
      </c>
      <c r="AF12" s="22">
        <f ca="1">PROFILE!G8</f>
        <v>5</v>
      </c>
      <c r="AG12" s="23" t="str">
        <f>PROFILE!H8</f>
        <v>सितम्बर 2019</v>
      </c>
      <c r="AH12" s="24">
        <f t="shared" ca="1" si="3"/>
        <v>0</v>
      </c>
      <c r="AI12" s="296">
        <f t="shared" ca="1" si="4"/>
        <v>0</v>
      </c>
      <c r="AJ12" s="297">
        <f t="shared" ca="1" si="5"/>
        <v>0</v>
      </c>
      <c r="AK12" s="252"/>
      <c r="AL12" s="253"/>
      <c r="AM12" s="254"/>
      <c r="AN12" s="24">
        <f ca="1">IF($AF12&gt;=1,(IF(DATA!$Q12=1,STUDENT!AC13*HOME!L11,IF(DATA!$Q12=2,((STUDENT!AC13-STUDENT!AG13)*HOME!L11)+STUDENT!AG13*HOME!N11,0))),0)</f>
        <v>0</v>
      </c>
      <c r="AO12" s="24">
        <f ca="1">IF($AF12&gt;=1,(IF(DATA!$Q12=1,STUDENT!AD13*HOME!M11,IF(DATA!$Q12=2,((STUDENT!AD13-STUDENT!AH13)*HOME!M11)+STUDENT!AH13*HOME!O11,0))),0)</f>
        <v>0</v>
      </c>
      <c r="AP12" s="257">
        <f t="shared" ca="1" si="1"/>
        <v>0</v>
      </c>
      <c r="AQ12" s="255">
        <f ca="1">IF(AF12&gt;=1,STUDENT!AK13*HOME!AA11,0)</f>
        <v>0</v>
      </c>
      <c r="AR12" s="25">
        <f ca="1">IF($AF12&gt;=1,DATA!AL12*HOME!Z11,0)</f>
        <v>0</v>
      </c>
      <c r="AS12" s="25">
        <f ca="1">IF($AF12&gt;=1,DATA!AM12*HOME!Z11,0)</f>
        <v>0</v>
      </c>
      <c r="AT12" s="256">
        <f t="shared" ca="1" si="2"/>
        <v>0</v>
      </c>
    </row>
    <row r="13" spans="1:46" ht="24.95" customHeight="1" x14ac:dyDescent="0.25">
      <c r="A13" s="52">
        <f>PROFILE!D9</f>
        <v>43739</v>
      </c>
      <c r="AE13" s="3">
        <f t="shared" ca="1" si="0"/>
        <v>0</v>
      </c>
      <c r="AF13" s="22">
        <f ca="1">PROFILE!G9</f>
        <v>6</v>
      </c>
      <c r="AG13" s="23" t="str">
        <f>PROFILE!H9</f>
        <v>अक्टूम्बर 2019</v>
      </c>
      <c r="AH13" s="24">
        <f t="shared" ca="1" si="3"/>
        <v>0</v>
      </c>
      <c r="AI13" s="296">
        <f t="shared" ca="1" si="4"/>
        <v>0</v>
      </c>
      <c r="AJ13" s="297">
        <f t="shared" ca="1" si="5"/>
        <v>0</v>
      </c>
      <c r="AK13" s="252"/>
      <c r="AL13" s="253"/>
      <c r="AM13" s="254"/>
      <c r="AN13" s="24">
        <f ca="1">IF($AF13&gt;=1,(IF(DATA!$Q13=1,STUDENT!AC14*HOME!L12,IF(DATA!$Q13=2,((STUDENT!AC14-STUDENT!AG14)*HOME!L12)+STUDENT!AG14*HOME!N12,0))),0)</f>
        <v>0</v>
      </c>
      <c r="AO13" s="24">
        <f ca="1">IF($AF13&gt;=1,(IF(DATA!$Q13=1,STUDENT!AD14*HOME!M12,IF(DATA!$Q13=2,((STUDENT!AD14-STUDENT!AH14)*HOME!M12)+STUDENT!AH14*HOME!O12,0))),0)</f>
        <v>0</v>
      </c>
      <c r="AP13" s="257">
        <f t="shared" ca="1" si="1"/>
        <v>0</v>
      </c>
      <c r="AQ13" s="255">
        <f ca="1">IF(AF13&gt;=1,STUDENT!AK14*HOME!AA12,0)</f>
        <v>0</v>
      </c>
      <c r="AR13" s="25">
        <f ca="1">IF($AF13&gt;=1,DATA!AL13*HOME!Z12,0)</f>
        <v>0</v>
      </c>
      <c r="AS13" s="25">
        <f ca="1">IF($AF13&gt;=1,DATA!AM13*HOME!Z12,0)</f>
        <v>0</v>
      </c>
      <c r="AT13" s="256">
        <f t="shared" ca="1" si="2"/>
        <v>0</v>
      </c>
    </row>
    <row r="14" spans="1:46" ht="24.95" customHeight="1" x14ac:dyDescent="0.25">
      <c r="A14" s="52">
        <f>PROFILE!D10</f>
        <v>43770</v>
      </c>
      <c r="AE14" s="3">
        <f t="shared" ca="1" si="0"/>
        <v>1</v>
      </c>
      <c r="AF14" s="22">
        <f ca="1">PROFILE!G10</f>
        <v>7</v>
      </c>
      <c r="AG14" s="23" t="str">
        <f>PROFILE!H10</f>
        <v>नवम्बर 2019</v>
      </c>
      <c r="AH14" s="24">
        <f t="shared" ca="1" si="3"/>
        <v>0</v>
      </c>
      <c r="AI14" s="296">
        <f t="shared" ca="1" si="4"/>
        <v>0</v>
      </c>
      <c r="AJ14" s="297">
        <f t="shared" ca="1" si="5"/>
        <v>0</v>
      </c>
      <c r="AK14" s="252"/>
      <c r="AL14" s="253"/>
      <c r="AM14" s="254"/>
      <c r="AN14" s="24">
        <f ca="1">IF($AF14&gt;=1,(IF(DATA!$Q14=1,STUDENT!AC15*HOME!L13,IF(DATA!$Q14=2,((STUDENT!AC15-STUDENT!AG15)*HOME!L13)+STUDENT!AG15*HOME!N13,0))),0)</f>
        <v>0</v>
      </c>
      <c r="AO14" s="24">
        <f ca="1">IF($AF14&gt;=1,(IF(DATA!$Q14=1,STUDENT!AD15*HOME!M13,IF(DATA!$Q14=2,((STUDENT!AD15-STUDENT!AH15)*HOME!M13)+STUDENT!AH15*HOME!O13,0))),0)</f>
        <v>0</v>
      </c>
      <c r="AP14" s="257">
        <f t="shared" ca="1" si="1"/>
        <v>0</v>
      </c>
      <c r="AQ14" s="255">
        <f ca="1">IF(AF14&gt;=1,STUDENT!AK15*HOME!AA13,0)</f>
        <v>0</v>
      </c>
      <c r="AR14" s="25">
        <f ca="1">IF($AF14&gt;=1,DATA!AL14*HOME!Z13,0)</f>
        <v>0</v>
      </c>
      <c r="AS14" s="25">
        <f ca="1">IF($AF14&gt;=1,DATA!AM14*HOME!Z13,0)</f>
        <v>0</v>
      </c>
      <c r="AT14" s="256">
        <f t="shared" ca="1" si="2"/>
        <v>0</v>
      </c>
    </row>
    <row r="15" spans="1:46" ht="24.95" customHeight="1" x14ac:dyDescent="0.25">
      <c r="A15" s="52">
        <f>PROFILE!D11</f>
        <v>43800</v>
      </c>
      <c r="AE15" s="3">
        <f t="shared" ca="1" si="0"/>
        <v>0</v>
      </c>
      <c r="AF15" s="22">
        <f ca="1">PROFILE!G11</f>
        <v>8</v>
      </c>
      <c r="AG15" s="23" t="str">
        <f>PROFILE!H11</f>
        <v>दिसम्बर 2019</v>
      </c>
      <c r="AH15" s="24">
        <f t="shared" ca="1" si="3"/>
        <v>0</v>
      </c>
      <c r="AI15" s="296">
        <f t="shared" ca="1" si="4"/>
        <v>0</v>
      </c>
      <c r="AJ15" s="297">
        <f t="shared" ca="1" si="5"/>
        <v>0</v>
      </c>
      <c r="AK15" s="252"/>
      <c r="AL15" s="253"/>
      <c r="AM15" s="254"/>
      <c r="AN15" s="24">
        <f ca="1">IF($AF15&gt;=1,(IF(DATA!$Q15=1,STUDENT!AC16*HOME!L14,IF(DATA!$Q15=2,((STUDENT!AC16-STUDENT!AG16)*HOME!L14)+STUDENT!AG16*HOME!N14,0))),0)</f>
        <v>0</v>
      </c>
      <c r="AO15" s="24">
        <f ca="1">IF($AF15&gt;=1,(IF(DATA!$Q15=1,STUDENT!AD16*HOME!M14,IF(DATA!$Q15=2,((STUDENT!AD16-STUDENT!AH16)*HOME!M14)+STUDENT!AH16*HOME!O14,0))),0)</f>
        <v>0</v>
      </c>
      <c r="AP15" s="257">
        <f t="shared" ca="1" si="1"/>
        <v>0</v>
      </c>
      <c r="AQ15" s="255">
        <f ca="1">IF(AF15&gt;=1,STUDENT!AK16*HOME!AA14,0)</f>
        <v>0</v>
      </c>
      <c r="AR15" s="25">
        <f ca="1">IF($AF15&gt;=1,DATA!AL15*HOME!Z14,0)</f>
        <v>0</v>
      </c>
      <c r="AS15" s="25">
        <f ca="1">IF($AF15&gt;=1,DATA!AM15*HOME!Z14,0)</f>
        <v>0</v>
      </c>
      <c r="AT15" s="256">
        <f t="shared" ca="1" si="2"/>
        <v>0</v>
      </c>
    </row>
    <row r="16" spans="1:46" ht="24.95" customHeight="1" x14ac:dyDescent="0.25">
      <c r="A16" s="52">
        <f>PROFILE!D12</f>
        <v>43831</v>
      </c>
      <c r="AE16" s="3">
        <f t="shared" ca="1" si="0"/>
        <v>1</v>
      </c>
      <c r="AF16" s="22">
        <f ca="1">PROFILE!G12</f>
        <v>9</v>
      </c>
      <c r="AG16" s="23" t="str">
        <f>PROFILE!H12</f>
        <v>जनवरी 2020</v>
      </c>
      <c r="AH16" s="24">
        <f t="shared" ca="1" si="3"/>
        <v>0</v>
      </c>
      <c r="AI16" s="296">
        <f t="shared" ca="1" si="4"/>
        <v>0</v>
      </c>
      <c r="AJ16" s="297">
        <f t="shared" ca="1" si="5"/>
        <v>0</v>
      </c>
      <c r="AK16" s="252"/>
      <c r="AL16" s="253"/>
      <c r="AM16" s="254"/>
      <c r="AN16" s="24">
        <f ca="1">IF($AF16&gt;=1,(IF(DATA!$Q16=1,STUDENT!AC17*HOME!L15,IF(DATA!$Q16=2,((STUDENT!AC17-STUDENT!AG17)*HOME!L15)+STUDENT!AG17*HOME!N15,0))),0)</f>
        <v>0</v>
      </c>
      <c r="AO16" s="24">
        <f ca="1">IF($AF16&gt;=1,(IF(DATA!$Q16=1,STUDENT!AD17*HOME!M15,IF(DATA!$Q16=2,((STUDENT!AD17-STUDENT!AH17)*HOME!M15)+STUDENT!AH17*HOME!O15,0))),0)</f>
        <v>0</v>
      </c>
      <c r="AP16" s="257">
        <f t="shared" ca="1" si="1"/>
        <v>0</v>
      </c>
      <c r="AQ16" s="255">
        <f ca="1">IF(AF16&gt;=1,STUDENT!AK17*HOME!AA15,0)</f>
        <v>0</v>
      </c>
      <c r="AR16" s="25">
        <f ca="1">IF($AF16&gt;=1,DATA!AL16*HOME!Z15,0)</f>
        <v>0</v>
      </c>
      <c r="AS16" s="25">
        <f ca="1">IF($AF16&gt;=1,DATA!AM16*HOME!Z15,0)</f>
        <v>0</v>
      </c>
      <c r="AT16" s="256">
        <f t="shared" ca="1" si="2"/>
        <v>0</v>
      </c>
    </row>
    <row r="17" spans="1:46" ht="24.95" customHeight="1" x14ac:dyDescent="0.25">
      <c r="A17" s="52">
        <f>PROFILE!D13</f>
        <v>43862</v>
      </c>
      <c r="AE17" s="3">
        <f t="shared" ca="1" si="0"/>
        <v>0</v>
      </c>
      <c r="AF17" s="22">
        <f ca="1">PROFILE!G13</f>
        <v>0</v>
      </c>
      <c r="AG17" s="23" t="str">
        <f>PROFILE!H13</f>
        <v>फरवरी 2020</v>
      </c>
      <c r="AH17" s="24">
        <f t="shared" ca="1" si="3"/>
        <v>0</v>
      </c>
      <c r="AI17" s="296">
        <f t="shared" ca="1" si="4"/>
        <v>0</v>
      </c>
      <c r="AJ17" s="297">
        <f t="shared" ca="1" si="5"/>
        <v>0</v>
      </c>
      <c r="AK17" s="252"/>
      <c r="AL17" s="253"/>
      <c r="AM17" s="254"/>
      <c r="AN17" s="24">
        <f ca="1">IF($AF17&gt;=1,(IF(DATA!$Q17=1,STUDENT!AC18*HOME!L16,IF(DATA!$Q17=2,((STUDENT!AC18-STUDENT!AG18)*HOME!L16)+STUDENT!AG18*HOME!N16,0))),0)</f>
        <v>0</v>
      </c>
      <c r="AO17" s="24">
        <f ca="1">IF($AF17&gt;=1,(IF(DATA!$Q17=1,STUDENT!AD18*HOME!M16,IF(DATA!$Q17=2,((STUDENT!AD18-STUDENT!AH18)*HOME!M16)+STUDENT!AH18*HOME!O16,0))),0)</f>
        <v>0</v>
      </c>
      <c r="AP17" s="257">
        <f t="shared" ca="1" si="1"/>
        <v>0</v>
      </c>
      <c r="AQ17" s="255">
        <f ca="1">IF(AF17&gt;=1,STUDENT!AK18*HOME!AA16,0)</f>
        <v>0</v>
      </c>
      <c r="AR17" s="25">
        <f ca="1">IF($AF17&gt;=1,DATA!AL17*HOME!Z16,0)</f>
        <v>0</v>
      </c>
      <c r="AS17" s="25">
        <f ca="1">IF($AF17&gt;=1,DATA!AM17*HOME!Z16,0)</f>
        <v>0</v>
      </c>
      <c r="AT17" s="256">
        <f t="shared" ca="1" si="2"/>
        <v>0</v>
      </c>
    </row>
    <row r="18" spans="1:46" ht="24.95" customHeight="1" x14ac:dyDescent="0.25">
      <c r="A18" s="52">
        <f>PROFILE!D14</f>
        <v>43891</v>
      </c>
      <c r="AE18" s="3">
        <f t="shared" ca="1" si="0"/>
        <v>0</v>
      </c>
      <c r="AF18" s="22">
        <f ca="1">PROFILE!G14</f>
        <v>0</v>
      </c>
      <c r="AG18" s="23" t="str">
        <f>PROFILE!H14</f>
        <v>मार्च 2020</v>
      </c>
      <c r="AH18" s="24">
        <f t="shared" ca="1" si="3"/>
        <v>0</v>
      </c>
      <c r="AI18" s="296">
        <f t="shared" ca="1" si="4"/>
        <v>0</v>
      </c>
      <c r="AJ18" s="297">
        <f t="shared" ca="1" si="5"/>
        <v>0</v>
      </c>
      <c r="AK18" s="252"/>
      <c r="AL18" s="253"/>
      <c r="AM18" s="254"/>
      <c r="AN18" s="24">
        <f ca="1">IF($AF18&gt;=1,(IF(DATA!$Q18=1,STUDENT!AC19*HOME!L17,IF(DATA!$Q18=2,((STUDENT!AC19-STUDENT!AG19)*HOME!L17)+STUDENT!AG19*HOME!N17,0))),0)</f>
        <v>0</v>
      </c>
      <c r="AO18" s="24">
        <f ca="1">IF($AF18&gt;=1,(IF(DATA!$Q18=1,STUDENT!AD19*HOME!M17,IF(DATA!$Q18=2,((STUDENT!AD19-STUDENT!AH19)*HOME!M17)+STUDENT!AH19*HOME!O17,0))),0)</f>
        <v>0</v>
      </c>
      <c r="AP18" s="257">
        <f t="shared" ca="1" si="1"/>
        <v>0</v>
      </c>
      <c r="AQ18" s="255">
        <f ca="1">IF(AF18&gt;=1,STUDENT!AK19*HOME!AA17,0)</f>
        <v>0</v>
      </c>
      <c r="AR18" s="25">
        <f ca="1">IF($AF18&gt;=1,DATA!AL18*HOME!Z17,0)</f>
        <v>0</v>
      </c>
      <c r="AS18" s="25">
        <f ca="1">IF($AF18&gt;=1,DATA!AM18*HOME!Z17,0)</f>
        <v>0</v>
      </c>
      <c r="AT18" s="256">
        <f t="shared" ca="1" si="2"/>
        <v>0</v>
      </c>
    </row>
    <row r="19" spans="1:46" ht="24.95" customHeight="1" x14ac:dyDescent="0.25">
      <c r="A19" s="52">
        <f>PROFILE!D15</f>
        <v>43922</v>
      </c>
      <c r="AE19" s="3">
        <f t="shared" ca="1" si="0"/>
        <v>0</v>
      </c>
      <c r="AF19" s="258">
        <f ca="1">PROFILE!G15</f>
        <v>0</v>
      </c>
      <c r="AG19" s="259" t="str">
        <f>PROFILE!H15</f>
        <v>अप्रैल 2020</v>
      </c>
      <c r="AH19" s="263">
        <f t="shared" ca="1" si="3"/>
        <v>0</v>
      </c>
      <c r="AI19" s="298">
        <f t="shared" ca="1" si="4"/>
        <v>0</v>
      </c>
      <c r="AJ19" s="299">
        <f t="shared" ca="1" si="5"/>
        <v>0</v>
      </c>
      <c r="AK19" s="260"/>
      <c r="AL19" s="261"/>
      <c r="AM19" s="262"/>
      <c r="AN19" s="263">
        <f ca="1">IF($AF19&gt;=1,(IF(DATA!$Q19=1,STUDENT!AC20*HOME!L18,IF(DATA!$Q19=2,((STUDENT!AC20-STUDENT!AG20)*HOME!L18)+STUDENT!AG20*HOME!N18,0))),0)</f>
        <v>0</v>
      </c>
      <c r="AO19" s="263">
        <f ca="1">IF($AF19&gt;=1,(IF(DATA!$Q19=1,STUDENT!AD20*HOME!M18,IF(DATA!$Q19=2,((STUDENT!AD20-STUDENT!AH20)*HOME!M18)+STUDENT!AH20*HOME!O18,0))),0)</f>
        <v>0</v>
      </c>
      <c r="AP19" s="264">
        <f t="shared" ca="1" si="1"/>
        <v>0</v>
      </c>
      <c r="AQ19" s="265">
        <f ca="1">IF(AF19&gt;=1,STUDENT!AK20*HOME!AA18,0)</f>
        <v>0</v>
      </c>
      <c r="AR19" s="266">
        <f ca="1">IF($AF19&gt;=1,DATA!AL19*HOME!Z18,0)</f>
        <v>0</v>
      </c>
      <c r="AS19" s="266">
        <f ca="1">IF($AF19&gt;=1,DATA!AM19*HOME!Z18,0)</f>
        <v>0</v>
      </c>
      <c r="AT19" s="267">
        <f t="shared" ca="1" si="2"/>
        <v>0</v>
      </c>
    </row>
    <row r="20" spans="1:46" ht="20.25" x14ac:dyDescent="0.25">
      <c r="AF20" s="956" t="s">
        <v>271</v>
      </c>
      <c r="AG20" s="956"/>
      <c r="AH20" s="300">
        <f ca="1">AH8+AK20-AP20</f>
        <v>0</v>
      </c>
      <c r="AI20" s="301">
        <f t="shared" ref="AI20" ca="1" si="6">AI8+AL20-AQ20</f>
        <v>0</v>
      </c>
      <c r="AJ20" s="302">
        <f ca="1">AJ8+AM20-AT20</f>
        <v>0</v>
      </c>
      <c r="AK20" s="300">
        <f>SUM(AK8:AK19)</f>
        <v>0</v>
      </c>
      <c r="AL20" s="301">
        <f t="shared" ref="AL20:AT20" si="7">SUM(AL8:AL19)</f>
        <v>0</v>
      </c>
      <c r="AM20" s="302">
        <f t="shared" si="7"/>
        <v>0</v>
      </c>
      <c r="AN20" s="300">
        <f t="shared" ca="1" si="7"/>
        <v>0</v>
      </c>
      <c r="AO20" s="300">
        <f t="shared" ca="1" si="7"/>
        <v>0</v>
      </c>
      <c r="AP20" s="300">
        <f t="shared" ca="1" si="7"/>
        <v>0</v>
      </c>
      <c r="AQ20" s="301">
        <f t="shared" ca="1" si="7"/>
        <v>0</v>
      </c>
      <c r="AR20" s="302">
        <f t="shared" ca="1" si="7"/>
        <v>0</v>
      </c>
      <c r="AS20" s="302">
        <f t="shared" ca="1" si="7"/>
        <v>0</v>
      </c>
      <c r="AT20" s="302">
        <f t="shared" ca="1" si="7"/>
        <v>0</v>
      </c>
    </row>
  </sheetData>
  <sheetProtection password="F8D0" sheet="1" objects="1" scenarios="1"/>
  <mergeCells count="13">
    <mergeCell ref="AF20:AG20"/>
    <mergeCell ref="A1:AG1"/>
    <mergeCell ref="AH5:AJ5"/>
    <mergeCell ref="AK5:AM6"/>
    <mergeCell ref="AN5:AT5"/>
    <mergeCell ref="AF5:AF7"/>
    <mergeCell ref="AG5:AG7"/>
    <mergeCell ref="AQ6:AQ7"/>
    <mergeCell ref="AR6:AT6"/>
    <mergeCell ref="AH6:AH7"/>
    <mergeCell ref="AI6:AI7"/>
    <mergeCell ref="AJ6:AJ7"/>
    <mergeCell ref="AN6:AP6"/>
  </mergeCells>
  <conditionalFormatting sqref="AF8:AG19">
    <cfRule type="expression" dxfId="134" priority="7">
      <formula>$AE8=0</formula>
    </cfRule>
  </conditionalFormatting>
  <conditionalFormatting sqref="AH8:AT19">
    <cfRule type="expression" dxfId="133" priority="6">
      <formula>$AE8=0</formula>
    </cfRule>
  </conditionalFormatting>
  <conditionalFormatting sqref="AH8:AT8">
    <cfRule type="cellIs" dxfId="132" priority="5" operator="equal">
      <formula>0</formula>
    </cfRule>
  </conditionalFormatting>
  <conditionalFormatting sqref="AH9:AT9">
    <cfRule type="cellIs" dxfId="131" priority="4" operator="equal">
      <formula>0</formula>
    </cfRule>
  </conditionalFormatting>
  <conditionalFormatting sqref="AH10:AT10 AH12:AT12 AH14:AT14 AH16:AT16 AH18:AT18">
    <cfRule type="cellIs" dxfId="130" priority="3" operator="equal">
      <formula>0</formula>
    </cfRule>
  </conditionalFormatting>
  <conditionalFormatting sqref="AH11:AT11 AH13:AT13 AH15:AT15 AH17:AT17 AH19:AT19">
    <cfRule type="cellIs" dxfId="129" priority="2" operator="equal">
      <formula>0</formula>
    </cfRule>
  </conditionalFormatting>
  <conditionalFormatting sqref="AF8:AT19">
    <cfRule type="expression" dxfId="128" priority="1">
      <formula>$AF8=0</formula>
    </cfRule>
  </conditionalFormatting>
  <pageMargins left="0" right="0" top="0" bottom="0" header="0" footer="0"/>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5</vt:i4>
      </vt:variant>
    </vt:vector>
  </HeadingPairs>
  <TitlesOfParts>
    <vt:vector size="20" baseType="lpstr">
      <vt:lpstr>NIRDESH</vt:lpstr>
      <vt:lpstr>HOME</vt:lpstr>
      <vt:lpstr>PROFILE</vt:lpstr>
      <vt:lpstr>STATUS</vt:lpstr>
      <vt:lpstr>AWAKASH</vt:lpstr>
      <vt:lpstr>DALLY</vt:lpstr>
      <vt:lpstr>STUDENT</vt:lpstr>
      <vt:lpstr>DATA</vt:lpstr>
      <vt:lpstr>PAYMENT</vt:lpstr>
      <vt:lpstr>REGISTER</vt:lpstr>
      <vt:lpstr>MONTHLY</vt:lpstr>
      <vt:lpstr>SAMEKIT</vt:lpstr>
      <vt:lpstr>PARCHAGE</vt:lpstr>
      <vt:lpstr>BILL</vt:lpstr>
      <vt:lpstr>BHUGTAN</vt:lpstr>
      <vt:lpstr>CLASS</vt:lpstr>
      <vt:lpstr>BHUGTAN!Print_Area</vt:lpstr>
      <vt:lpstr>MONTHLY!Print_Area</vt:lpstr>
      <vt:lpstr>YES</vt:lpstr>
      <vt:lpstr>सप्लायर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2020-01-26T12:29:00Z</dcterms:modified>
</cp:coreProperties>
</file>