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My PC\Desktop\"/>
    </mc:Choice>
  </mc:AlternateContent>
  <xr:revisionPtr revIDLastSave="0" documentId="13_ncr:1_{B60B7996-1B74-457E-AD78-6F312240A269}" xr6:coauthVersionLast="36" xr6:coauthVersionMax="36" xr10:uidLastSave="{00000000-0000-0000-0000-000000000000}"/>
  <bookViews>
    <workbookView xWindow="0" yWindow="0" windowWidth="20490" windowHeight="7155" xr2:uid="{00000000-000D-0000-FFFF-FFFF00000000}"/>
  </bookViews>
  <sheets>
    <sheet name="Master" sheetId="3" r:id="rId1"/>
    <sheet name="Instructions" sheetId="5" r:id="rId2"/>
    <sheet name="Calculation" sheetId="1" state="hidden" r:id="rId3"/>
  </sheets>
  <definedNames>
    <definedName name="_xlnm._FilterDatabase" localSheetId="0" hidden="1">Master!$A$1:$G$48</definedName>
    <definedName name="category">Calculation!$G$3:$G$5</definedName>
    <definedName name="_xlnm.Print_Area" localSheetId="0">Master!$A$1:$F$49</definedName>
  </definedNames>
  <calcPr calcId="179021"/>
</workbook>
</file>

<file path=xl/calcChain.xml><?xml version="1.0" encoding="utf-8"?>
<calcChain xmlns="http://schemas.openxmlformats.org/spreadsheetml/2006/main">
  <c r="A9" i="3" l="1"/>
  <c r="F10" i="3"/>
  <c r="F28" i="3" l="1"/>
  <c r="B7" i="3"/>
  <c r="C7" i="3"/>
  <c r="B8" i="3" l="1"/>
  <c r="F13" i="3" s="1"/>
  <c r="C8" i="3"/>
  <c r="D21" i="3" s="1"/>
  <c r="D7" i="3"/>
  <c r="F7" i="3" s="1"/>
  <c r="B11" i="1"/>
  <c r="B12" i="1"/>
  <c r="B13" i="1" s="1"/>
  <c r="B14" i="1" s="1"/>
  <c r="B15" i="1" s="1"/>
  <c r="B16" i="1" s="1"/>
  <c r="B17" i="1" s="1"/>
  <c r="B18" i="1" s="1"/>
  <c r="B19" i="1" s="1"/>
  <c r="B20" i="1" s="1"/>
  <c r="B21" i="1" s="1"/>
  <c r="B22" i="1" s="1"/>
  <c r="B23" i="1" s="1"/>
  <c r="B24" i="1" s="1"/>
  <c r="B25" i="1" s="1"/>
  <c r="B26" i="1" s="1"/>
  <c r="N13" i="1"/>
  <c r="L21" i="1"/>
  <c r="Q21" i="1"/>
  <c r="L22" i="1"/>
  <c r="Q22" i="1"/>
  <c r="L23" i="1"/>
  <c r="Q23" i="1"/>
  <c r="Q24" i="1"/>
  <c r="Q25" i="1"/>
  <c r="Q26" i="1"/>
  <c r="L31" i="1"/>
  <c r="L32" i="1"/>
  <c r="L33" i="1"/>
  <c r="L39" i="1"/>
  <c r="L40" i="1"/>
  <c r="E8" i="3" l="1"/>
  <c r="F8" i="3" s="1"/>
  <c r="F15" i="3" s="1"/>
  <c r="E6" i="1" l="1"/>
  <c r="E27" i="1" s="1"/>
  <c r="J7" i="1" s="1"/>
  <c r="L11" i="1" s="1"/>
  <c r="Q10" i="1" s="1"/>
  <c r="F17" i="3"/>
  <c r="F29" i="3" s="1"/>
  <c r="F30" i="3" s="1"/>
  <c r="J8" i="1"/>
  <c r="J12" i="1" s="1"/>
  <c r="T8" i="1" s="1"/>
  <c r="U8" i="1" s="1"/>
  <c r="V8" i="1" s="1"/>
  <c r="J11" i="1" l="1"/>
  <c r="Q8" i="1" s="1"/>
  <c r="R8" i="1" s="1"/>
  <c r="R10" i="1"/>
  <c r="S10" i="1" s="1"/>
  <c r="K11" i="1"/>
  <c r="Q9" i="1" s="1"/>
  <c r="R9" i="1" s="1"/>
  <c r="F31" i="3"/>
  <c r="F32" i="3" s="1"/>
  <c r="S9" i="1"/>
  <c r="L12" i="1"/>
  <c r="I1" i="1" s="1"/>
  <c r="K12" i="1"/>
  <c r="T9" i="1" s="1"/>
  <c r="U9" i="1" s="1"/>
  <c r="S8" i="1" l="1"/>
  <c r="Q13" i="1" s="1"/>
  <c r="E29" i="1" s="1"/>
  <c r="T10" i="1"/>
  <c r="V9" i="1"/>
  <c r="U10" i="1"/>
  <c r="V10" i="1" l="1"/>
  <c r="R13" i="1" s="1"/>
  <c r="E30" i="1" s="1"/>
  <c r="F33" i="3" s="1"/>
  <c r="F34" i="3" s="1"/>
  <c r="F39" i="3" l="1"/>
  <c r="F46" i="3"/>
  <c r="C46" i="3"/>
  <c r="F36" i="3"/>
  <c r="F38" i="3" s="1"/>
  <c r="D42" i="3" s="1"/>
  <c r="D46" i="3"/>
  <c r="E46" i="3"/>
  <c r="D44" i="3" l="1"/>
  <c r="B44" i="3"/>
  <c r="F42" i="3"/>
  <c r="A42" i="3"/>
  <c r="E44" i="3"/>
  <c r="C44" i="3"/>
  <c r="A44" i="3"/>
  <c r="E42" i="3"/>
  <c r="C42" i="3"/>
  <c r="B42" i="3"/>
  <c r="F44" i="3" l="1"/>
  <c r="F47" i="3" s="1"/>
  <c r="E47" i="3"/>
  <c r="C47" i="3"/>
  <c r="D47" i="3"/>
  <c r="M31" i="3" l="1"/>
  <c r="A48" i="3" s="1"/>
  <c r="M32" i="3"/>
  <c r="E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7" authorId="0" shapeId="0" xr:uid="{00000000-0006-0000-0100-000001000000}">
      <text>
        <r>
          <rPr>
            <b/>
            <sz val="9"/>
            <color indexed="81"/>
            <rFont val="Tahoma"/>
            <family val="2"/>
          </rPr>
          <t>user:</t>
        </r>
        <r>
          <rPr>
            <sz val="9"/>
            <color indexed="81"/>
            <rFont val="Tahoma"/>
            <family val="2"/>
          </rPr>
          <t xml:space="preserve">
ENTER BASIC SALARY OF MARCH 2020</t>
        </r>
      </text>
    </comment>
  </commentList>
</comments>
</file>

<file path=xl/sharedStrings.xml><?xml version="1.0" encoding="utf-8"?>
<sst xmlns="http://schemas.openxmlformats.org/spreadsheetml/2006/main" count="115" uniqueCount="91">
  <si>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</si>
  <si>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</si>
  <si>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</si>
  <si>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</si>
  <si>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</si>
  <si>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</si>
  <si>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</si>
  <si>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</si>
  <si>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</si>
  <si>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</si>
  <si>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</si>
  <si>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</si>
  <si>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</si>
  <si>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</si>
  <si>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</si>
  <si>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</si>
  <si>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</si>
  <si>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</si>
  <si>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</si>
  <si>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</si>
  <si>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</si>
  <si>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</si>
  <si>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</si>
  <si>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</si>
  <si>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</si>
  <si>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</si>
  <si>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</si>
  <si>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</si>
  <si>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</si>
  <si>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</si>
  <si>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</si>
  <si>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</si>
  <si>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</si>
  <si>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</si>
  <si>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NAME :-</t>
  </si>
  <si>
    <t>POST</t>
  </si>
  <si>
    <t>D.A</t>
  </si>
  <si>
    <t>HRA</t>
  </si>
  <si>
    <t>MAR TO JUNE SALARY</t>
  </si>
  <si>
    <t>JULY TO FEB SALARY</t>
  </si>
  <si>
    <t xml:space="preserve">GROSS SALARY </t>
  </si>
  <si>
    <t>-</t>
  </si>
  <si>
    <t>STANDARD DEDUCTION</t>
  </si>
  <si>
    <t>GROSS TOTAL INCOME</t>
  </si>
  <si>
    <t>DEDUCTIONS:-</t>
  </si>
  <si>
    <t>80 C ,CCC ,CCD1       ( MAX 150000)</t>
  </si>
  <si>
    <t>HOUSE RENT  ALLOWANCE</t>
  </si>
  <si>
    <t>HOUSE LOAN INTEREST   (MAX 200000)</t>
  </si>
  <si>
    <t>MEDICLAIM ( MAX 25000 )</t>
  </si>
  <si>
    <t xml:space="preserve">EDUCATION LOAN </t>
  </si>
  <si>
    <r>
      <t>80TTA</t>
    </r>
    <r>
      <rPr>
        <b/>
        <sz val="10"/>
        <color theme="1"/>
        <rFont val="Calibri"/>
        <family val="2"/>
        <scheme val="minor"/>
      </rPr>
      <t xml:space="preserve"> (INTEREST ON SAVING BANK ACCOUNT ) MAX 40000</t>
    </r>
  </si>
  <si>
    <t>TOTAL DEDUCTIONS</t>
  </si>
  <si>
    <t xml:space="preserve">NET TAXABLE INCOME </t>
  </si>
  <si>
    <t>TAX</t>
  </si>
  <si>
    <t>CESS@4%</t>
  </si>
  <si>
    <t xml:space="preserve">TDS DEDUCTED TILL  NOW </t>
  </si>
  <si>
    <t xml:space="preserve">TAX PAYABLE  THROUGH TDS </t>
  </si>
  <si>
    <t xml:space="preserve">NO OF INSTALMENTS /MONTH REMAINING </t>
  </si>
  <si>
    <t>NET TAX PAYABLE AS PER OLD REGIME</t>
  </si>
  <si>
    <t xml:space="preserve">BENIFICIAL REGIME AMOUNT </t>
  </si>
  <si>
    <t xml:space="preserve">INTEREST ON SAVING BANK ACCOUNT </t>
  </si>
  <si>
    <t>BASIC AS ON 01-07-2020</t>
  </si>
  <si>
    <t xml:space="preserve">TAX AND CESS AS PER NEW REGIME </t>
  </si>
  <si>
    <t xml:space="preserve">ANY OTHER DEDUCTION                                                   </t>
  </si>
  <si>
    <t xml:space="preserve">Gross total SALARY/Income  for the year </t>
  </si>
  <si>
    <t>BASIC AS ON 01.03.2020</t>
  </si>
  <si>
    <t xml:space="preserve"> NOV 2020</t>
  </si>
  <si>
    <t xml:space="preserve">Short deduction </t>
  </si>
  <si>
    <t xml:space="preserve">MONTHLY EXPECTED TAX PAYABLE THROUGH TDS </t>
  </si>
  <si>
    <t xml:space="preserve">80G  ( Donations) / Corona relief </t>
  </si>
  <si>
    <t>HRA APPLICABLE</t>
  </si>
  <si>
    <t>PAN NO:-</t>
  </si>
  <si>
    <t>DA APPLICABLE-JULY 2020</t>
  </si>
  <si>
    <t>DA APPLICABLE- MARCH 2020</t>
  </si>
  <si>
    <t>Other Arrear</t>
  </si>
  <si>
    <t>Surrender Leave Taken-</t>
  </si>
  <si>
    <t>COMPUTATION OF ESTIMATED INCOME TAX PAYABLE FOR F.Y 2020-21</t>
  </si>
  <si>
    <t>80 CCD(1B)               (Maximum 50000)</t>
  </si>
  <si>
    <t>New Simplified Personal Income Tax Regime u/s 115BAC</t>
  </si>
  <si>
    <t>TDS TO BE DEDUCTED  PER MONTH</t>
  </si>
  <si>
    <r>
      <t xml:space="preserve"> The above Estimated TDS calculator has been prepared with atmost due care and precautions. Still the user is fully responsible for the out come .                                                                                                                 </t>
    </r>
    <r>
      <rPr>
        <sz val="10"/>
        <color theme="3" tint="0.39997558519241921"/>
        <rFont val="Calibri"/>
        <family val="2"/>
        <scheme val="minor"/>
      </rPr>
      <t xml:space="preserve">           </t>
    </r>
  </si>
  <si>
    <t>INCOME FROM OTHER SOURCES/  OTHER TAXABLE ALLOWANCES</t>
  </si>
  <si>
    <t>DA Arrear  July 2019</t>
  </si>
  <si>
    <t>For Months</t>
  </si>
  <si>
    <t>Please Fill in Yellow Cells to Calculate your Estimated TDS for FY 2020-21</t>
  </si>
  <si>
    <t>AXXXX1234X</t>
  </si>
  <si>
    <t>Government Higher Secondary School, ……………………</t>
  </si>
  <si>
    <t>Average TDS Per Month to be Deducted</t>
  </si>
  <si>
    <t xml:space="preserve">QUARTER WISE   REQUIRED TDS </t>
  </si>
  <si>
    <t>(HRA Received)</t>
  </si>
  <si>
    <t>BEFORE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</si>
</sst>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_-* #,##0_-;\-* #,##0_-;_-* \-??_-;_-@_-"/>
    <numFmt numFmtId="166" formatCode="_(* #,##0_);_(* \(#,##0\);_(* \-??_);_(@_)"/>
  </numFmts>
  <fonts count="36" x14ac:knownFonts="1">
    <font>
      <sz val="11"/>
      <color indexed="8"/>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8"/>
      <name val="Calibri"/>
      <family val="2"/>
      <scheme val="minor"/>
    </font>
    <font>
      <b/>
      <sz val="11"/>
      <color rgb="FF00B050"/>
      <name val="Calibri"/>
      <family val="2"/>
      <scheme val="minor"/>
    </font>
    <font>
      <b/>
      <sz val="11"/>
      <color rgb="FFFF0000"/>
      <name val="Calibri"/>
      <family val="2"/>
      <scheme val="minor"/>
    </font>
    <font>
      <u/>
      <sz val="11"/>
      <color theme="10"/>
      <name val="Calibri"/>
      <family val="2"/>
    </font>
    <font>
      <b/>
      <sz val="11"/>
      <color rgb="FF00B0F0"/>
      <name val="Calibri"/>
      <family val="2"/>
      <scheme val="minor"/>
    </font>
    <font>
      <sz val="10"/>
      <color theme="3" tint="0.39997558519241921"/>
      <name val="Calibri"/>
      <family val="2"/>
      <scheme val="minor"/>
    </font>
    <font>
      <b/>
      <sz val="16"/>
      <color theme="4" tint="-0.499984740745262"/>
      <name val="Calibri"/>
      <family val="2"/>
      <scheme val="minor"/>
    </font>
    <font>
      <b/>
      <sz val="11"/>
      <color theme="4" tint="-0.499984740745262"/>
      <name val="Calibri"/>
      <family val="2"/>
      <scheme val="minor"/>
    </font>
    <font>
      <b/>
      <sz val="11"/>
      <name val="Calibri"/>
      <family val="2"/>
      <scheme val="minor"/>
    </font>
    <font>
      <sz val="9"/>
      <color indexed="81"/>
      <name val="Tahoma"/>
      <family val="2"/>
    </font>
    <font>
      <b/>
      <sz val="9"/>
      <color indexed="81"/>
      <name val="Tahoma"/>
      <family val="2"/>
    </font>
    <font>
      <b/>
      <sz val="16"/>
      <color indexed="8"/>
      <name val="Calibri"/>
      <family val="2"/>
    </font>
    <font>
      <b/>
      <sz val="11"/>
      <color indexed="8"/>
      <name val="Calibri"/>
      <family val="2"/>
    </font>
    <font>
      <b/>
      <sz val="14"/>
      <color rgb="FFFF0000"/>
      <name val="Calibri"/>
      <family val="2"/>
    </font>
    <font>
      <b/>
      <sz val="14"/>
      <color theme="1"/>
      <name val="Calibri"/>
      <family val="2"/>
    </font>
    <font>
      <sz val="11"/>
      <color theme="1"/>
      <name val="Calibri"/>
      <family val="2"/>
      <charset val="1"/>
    </font>
    <font>
      <b/>
      <i/>
      <sz val="13"/>
      <color theme="1"/>
      <name val="Calibri"/>
      <family val="2"/>
      <scheme val="minor"/>
    </font>
    <font>
      <b/>
      <sz val="11"/>
      <color theme="5" tint="-0.249977111117893"/>
      <name val="Calibri"/>
      <family val="2"/>
      <scheme val="minor"/>
    </font>
    <font>
      <u/>
      <sz val="11"/>
      <color theme="1"/>
      <name val="Calibri"/>
      <family val="2"/>
    </font>
    <font>
      <sz val="11"/>
      <color theme="1"/>
      <name val="Calibri"/>
      <family val="2"/>
    </font>
    <font>
      <b/>
      <sz val="13"/>
      <color theme="1"/>
      <name val="Arial"/>
      <family val="2"/>
      <charset val="1"/>
    </font>
    <font>
      <sz val="12"/>
      <color theme="1"/>
      <name val="Arial"/>
      <family val="2"/>
      <charset val="1"/>
    </font>
    <font>
      <b/>
      <sz val="12"/>
      <color theme="1"/>
      <name val="Arial"/>
      <family val="2"/>
      <charset val="1"/>
    </font>
    <font>
      <sz val="13"/>
      <color theme="1"/>
      <name val="Arial"/>
      <family val="2"/>
      <charset val="1"/>
    </font>
    <font>
      <b/>
      <sz val="11"/>
      <color theme="1"/>
      <name val="Calibri"/>
      <family val="2"/>
      <charset val="1"/>
    </font>
    <font>
      <sz val="20"/>
      <color theme="0"/>
      <name val="Calibri"/>
      <family val="2"/>
      <charset val="1"/>
    </font>
    <font>
      <sz val="11"/>
      <color theme="0"/>
      <name val="Calibri"/>
      <family val="2"/>
      <charset val="1"/>
    </font>
    <font>
      <b/>
      <sz val="10"/>
      <color theme="5" tint="-0.249977111117893"/>
      <name val="Calibri"/>
      <family val="2"/>
      <scheme val="minor"/>
    </font>
    <font>
      <b/>
      <sz val="11"/>
      <color theme="1"/>
      <name val="Calibri"/>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bgColor indexed="34"/>
      </patternFill>
    </fill>
    <fill>
      <patternFill patternType="solid">
        <fgColor theme="1"/>
        <bgColor indexed="64"/>
      </patternFill>
    </fill>
    <fill>
      <patternFill patternType="solid">
        <fgColor theme="1"/>
        <bgColor indexed="41"/>
      </patternFill>
    </fill>
    <fill>
      <patternFill patternType="solid">
        <fgColor theme="1"/>
        <bgColor indexed="42"/>
      </patternFill>
    </fill>
    <fill>
      <patternFill patternType="solid">
        <fgColor theme="1"/>
        <bgColor indexed="52"/>
      </patternFill>
    </fill>
    <fill>
      <patternFill patternType="solid">
        <fgColor theme="1"/>
        <bgColor indexed="27"/>
      </patternFill>
    </fill>
    <fill>
      <patternFill patternType="solid">
        <fgColor theme="5" tint="0.79998168889431442"/>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164" fontId="2" fillId="0" borderId="0" applyFill="0" applyBorder="0" applyProtection="0"/>
    <xf numFmtId="0" fontId="1" fillId="0" borderId="0" applyNumberFormat="0" applyFill="0" applyBorder="0" applyProtection="0"/>
  </cellStyleXfs>
  <cellXfs count="167">
    <xf numFmtId="0" fontId="0" fillId="0" borderId="0" xfId="0"/>
    <xf numFmtId="0" fontId="5" fillId="0" borderId="20" xfId="0" applyFont="1" applyBorder="1" applyAlignment="1" applyProtection="1">
      <alignment horizontal="center" wrapText="1"/>
      <protection hidden="1"/>
    </xf>
    <xf numFmtId="0" fontId="4" fillId="0" borderId="20" xfId="0" applyFont="1" applyBorder="1" applyAlignment="1" applyProtection="1">
      <alignment horizontal="center" vertical="center"/>
      <protection hidden="1"/>
    </xf>
    <xf numFmtId="0" fontId="6" fillId="0" borderId="20" xfId="0" applyFont="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1" fontId="0" fillId="0" borderId="0" xfId="0" applyNumberFormat="1"/>
    <xf numFmtId="0" fontId="7" fillId="0" borderId="20" xfId="0" applyFont="1" applyBorder="1" applyAlignment="1" applyProtection="1">
      <alignment horizontal="center" wrapText="1"/>
      <protection hidden="1"/>
    </xf>
    <xf numFmtId="0" fontId="4" fillId="0" borderId="20" xfId="0" applyFont="1" applyBorder="1" applyProtection="1">
      <protection hidden="1"/>
    </xf>
    <xf numFmtId="0" fontId="0" fillId="0" borderId="0" xfId="0" applyAlignment="1"/>
    <xf numFmtId="0" fontId="9" fillId="0" borderId="20" xfId="0" applyFont="1" applyBorder="1" applyProtection="1">
      <protection hidden="1"/>
    </xf>
    <xf numFmtId="0" fontId="4" fillId="0" borderId="20" xfId="0" applyFont="1" applyBorder="1" applyAlignment="1" applyProtection="1">
      <alignment horizontal="right" vertical="center"/>
      <protection hidden="1"/>
    </xf>
    <xf numFmtId="1" fontId="11" fillId="0" borderId="20" xfId="0" applyNumberFormat="1" applyFont="1" applyBorder="1" applyProtection="1">
      <protection hidden="1"/>
    </xf>
    <xf numFmtId="0" fontId="0" fillId="0" borderId="20" xfId="0" applyBorder="1" applyAlignment="1" applyProtection="1">
      <alignment horizontal="center"/>
      <protection hidden="1"/>
    </xf>
    <xf numFmtId="0" fontId="0" fillId="0" borderId="20" xfId="0" quotePrefix="1" applyBorder="1" applyAlignment="1" applyProtection="1">
      <alignment horizontal="center" vertical="center"/>
      <protection hidden="1"/>
    </xf>
    <xf numFmtId="0" fontId="0" fillId="0" borderId="0" xfId="0" applyProtection="1">
      <protection hidden="1"/>
    </xf>
    <xf numFmtId="1" fontId="0" fillId="0" borderId="0" xfId="0" applyNumberFormat="1" applyProtection="1">
      <protection hidden="1"/>
    </xf>
    <xf numFmtId="0" fontId="3" fillId="2" borderId="20" xfId="0" applyFont="1" applyFill="1" applyBorder="1" applyAlignment="1" applyProtection="1">
      <protection locked="0" hidden="1"/>
    </xf>
    <xf numFmtId="0" fontId="3" fillId="2" borderId="20" xfId="0" applyFont="1" applyFill="1" applyBorder="1" applyAlignment="1" applyProtection="1">
      <alignment horizontal="center"/>
      <protection locked="0" hidden="1"/>
    </xf>
    <xf numFmtId="0" fontId="4" fillId="2" borderId="20" xfId="0" applyFont="1" applyFill="1" applyBorder="1" applyAlignment="1" applyProtection="1">
      <alignment horizontal="right" vertical="center"/>
      <protection locked="0" hidden="1"/>
    </xf>
    <xf numFmtId="1" fontId="4" fillId="3" borderId="20" xfId="0" applyNumberFormat="1" applyFont="1" applyFill="1" applyBorder="1" applyAlignment="1" applyProtection="1">
      <alignment horizontal="center" vertical="top"/>
      <protection hidden="1"/>
    </xf>
    <xf numFmtId="0" fontId="4" fillId="3" borderId="20" xfId="0" applyFont="1" applyFill="1" applyBorder="1" applyAlignment="1" applyProtection="1">
      <alignment horizontal="right" vertical="center"/>
      <protection hidden="1"/>
    </xf>
    <xf numFmtId="0" fontId="0" fillId="2" borderId="20" xfId="0" applyFont="1" applyFill="1" applyBorder="1" applyAlignment="1" applyProtection="1">
      <alignment wrapText="1"/>
      <protection locked="0" hidden="1"/>
    </xf>
    <xf numFmtId="0" fontId="4" fillId="0" borderId="20" xfId="0" applyFont="1" applyBorder="1" applyAlignment="1" applyProtection="1">
      <alignment horizontal="center"/>
      <protection hidden="1"/>
    </xf>
    <xf numFmtId="0" fontId="5" fillId="2" borderId="23" xfId="0" applyFont="1" applyFill="1" applyBorder="1" applyAlignment="1" applyProtection="1">
      <alignment horizontal="center" vertical="center" wrapText="1"/>
      <protection locked="0" hidden="1"/>
    </xf>
    <xf numFmtId="9" fontId="5" fillId="2" borderId="20" xfId="0" applyNumberFormat="1" applyFont="1" applyFill="1" applyBorder="1" applyAlignment="1" applyProtection="1">
      <alignment vertical="center" wrapText="1"/>
      <protection locked="0" hidden="1"/>
    </xf>
    <xf numFmtId="0" fontId="5" fillId="0" borderId="21" xfId="0" applyFont="1" applyBorder="1" applyAlignment="1" applyProtection="1">
      <alignment vertical="center" wrapText="1"/>
      <protection hidden="1"/>
    </xf>
    <xf numFmtId="0" fontId="4" fillId="0" borderId="22" xfId="0" applyFont="1" applyBorder="1" applyAlignment="1" applyProtection="1">
      <alignment horizontal="center"/>
      <protection hidden="1"/>
    </xf>
    <xf numFmtId="0" fontId="9" fillId="2" borderId="21" xfId="0" applyFont="1" applyFill="1" applyBorder="1" applyAlignment="1" applyProtection="1">
      <protection locked="0" hidden="1"/>
    </xf>
    <xf numFmtId="0" fontId="0" fillId="2" borderId="23" xfId="0" applyFont="1" applyFill="1" applyBorder="1" applyAlignment="1" applyProtection="1">
      <alignment wrapText="1"/>
      <protection locked="0" hidden="1"/>
    </xf>
    <xf numFmtId="1" fontId="4" fillId="5" borderId="20" xfId="0" applyNumberFormat="1" applyFont="1" applyFill="1" applyBorder="1" applyProtection="1">
      <protection hidden="1"/>
    </xf>
    <xf numFmtId="0" fontId="4" fillId="2" borderId="20" xfId="0" applyFont="1" applyFill="1" applyBorder="1" applyProtection="1">
      <protection locked="0" hidden="1"/>
    </xf>
    <xf numFmtId="1" fontId="4" fillId="0" borderId="20" xfId="0" applyNumberFormat="1" applyFont="1" applyBorder="1" applyProtection="1">
      <protection hidden="1"/>
    </xf>
    <xf numFmtId="1" fontId="4" fillId="3" borderId="20" xfId="0" applyNumberFormat="1" applyFont="1" applyFill="1" applyBorder="1" applyProtection="1">
      <protection hidden="1"/>
    </xf>
    <xf numFmtId="0" fontId="0" fillId="3" borderId="0" xfId="0" applyFill="1"/>
    <xf numFmtId="17" fontId="19" fillId="3" borderId="20" xfId="0" applyNumberFormat="1" applyFont="1" applyFill="1" applyBorder="1" applyAlignment="1" applyProtection="1">
      <alignment horizontal="center"/>
      <protection hidden="1"/>
    </xf>
    <xf numFmtId="0" fontId="26" fillId="2" borderId="20" xfId="0" applyFont="1" applyFill="1" applyBorder="1" applyAlignment="1" applyProtection="1">
      <alignment horizontal="center"/>
      <protection locked="0" hidden="1"/>
    </xf>
    <xf numFmtId="0" fontId="19" fillId="3" borderId="20" xfId="0" applyFont="1" applyFill="1" applyBorder="1" applyAlignment="1" applyProtection="1">
      <alignment horizontal="center"/>
      <protection hidden="1"/>
    </xf>
    <xf numFmtId="166" fontId="29" fillId="7" borderId="0" xfId="1" applyNumberFormat="1" applyFont="1" applyFill="1" applyBorder="1" applyAlignment="1" applyProtection="1">
      <protection hidden="1"/>
    </xf>
    <xf numFmtId="0" fontId="4" fillId="4" borderId="20" xfId="0" applyFont="1" applyFill="1" applyBorder="1" applyProtection="1">
      <protection hidden="1"/>
    </xf>
    <xf numFmtId="0" fontId="4" fillId="2" borderId="23" xfId="0" applyFont="1" applyFill="1" applyBorder="1" applyAlignment="1" applyProtection="1">
      <alignment horizontal="center"/>
      <protection locked="0" hidden="1"/>
    </xf>
    <xf numFmtId="0" fontId="0" fillId="0" borderId="21"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4" fillId="0" borderId="21" xfId="0" applyFont="1" applyBorder="1" applyAlignment="1" applyProtection="1">
      <alignment horizontal="left"/>
      <protection hidden="1"/>
    </xf>
    <xf numFmtId="0" fontId="4" fillId="0" borderId="22" xfId="0" applyFont="1" applyBorder="1" applyAlignment="1" applyProtection="1">
      <alignment horizontal="left"/>
      <protection hidden="1"/>
    </xf>
    <xf numFmtId="0" fontId="4" fillId="0" borderId="23" xfId="0" applyFont="1" applyBorder="1" applyAlignment="1" applyProtection="1">
      <alignment horizontal="left"/>
      <protection hidden="1"/>
    </xf>
    <xf numFmtId="0" fontId="8" fillId="0" borderId="20" xfId="0" applyFont="1" applyBorder="1" applyAlignment="1" applyProtection="1">
      <alignment horizontal="left" wrapText="1"/>
      <protection hidden="1"/>
    </xf>
    <xf numFmtId="0" fontId="4" fillId="0" borderId="20" xfId="0" applyFont="1" applyBorder="1" applyAlignment="1" applyProtection="1">
      <alignment horizontal="left" wrapText="1"/>
      <protection hidden="1"/>
    </xf>
    <xf numFmtId="0" fontId="4" fillId="0" borderId="27" xfId="0" applyFont="1" applyBorder="1" applyAlignment="1" applyProtection="1">
      <alignment horizontal="left" wrapText="1"/>
      <protection hidden="1"/>
    </xf>
    <xf numFmtId="0" fontId="4" fillId="0" borderId="28" xfId="0" applyFont="1" applyBorder="1" applyAlignment="1" applyProtection="1">
      <alignment horizontal="left" wrapText="1"/>
      <protection hidden="1"/>
    </xf>
    <xf numFmtId="0" fontId="10" fillId="3" borderId="21" xfId="2" applyFont="1" applyFill="1" applyBorder="1" applyAlignment="1" applyProtection="1">
      <alignment horizontal="center"/>
      <protection hidden="1"/>
    </xf>
    <xf numFmtId="0" fontId="10" fillId="3" borderId="22" xfId="2" applyFont="1" applyFill="1" applyBorder="1" applyAlignment="1" applyProtection="1">
      <alignment horizontal="center"/>
      <protection hidden="1"/>
    </xf>
    <xf numFmtId="0" fontId="10" fillId="3" borderId="23" xfId="2" applyFont="1" applyFill="1" applyBorder="1" applyAlignment="1" applyProtection="1">
      <alignment horizontal="center"/>
      <protection hidden="1"/>
    </xf>
    <xf numFmtId="0" fontId="13" fillId="2" borderId="19" xfId="0" applyFont="1" applyFill="1" applyBorder="1" applyAlignment="1" applyProtection="1">
      <alignment horizontal="center"/>
      <protection locked="0"/>
    </xf>
    <xf numFmtId="0" fontId="23" fillId="0" borderId="20" xfId="0" applyFont="1" applyBorder="1" applyAlignment="1" applyProtection="1">
      <alignment horizontal="center" vertical="center" wrapText="1"/>
      <protection hidden="1"/>
    </xf>
    <xf numFmtId="0" fontId="5" fillId="2" borderId="22" xfId="0" applyFont="1" applyFill="1" applyBorder="1" applyAlignment="1" applyProtection="1">
      <alignment vertical="center" wrapText="1"/>
      <protection locked="0" hidden="1"/>
    </xf>
    <xf numFmtId="0" fontId="5" fillId="2" borderId="23" xfId="0" applyFont="1" applyFill="1" applyBorder="1" applyAlignment="1" applyProtection="1">
      <alignment vertical="center" wrapText="1"/>
      <protection locked="0" hidden="1"/>
    </xf>
    <xf numFmtId="0" fontId="0" fillId="0" borderId="20" xfId="0"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4" fillId="0" borderId="20" xfId="0" applyFont="1" applyBorder="1" applyAlignment="1" applyProtection="1">
      <alignment horizontal="right" vertical="center"/>
      <protection hidden="1"/>
    </xf>
    <xf numFmtId="0" fontId="25" fillId="5" borderId="21" xfId="2" applyFont="1" applyFill="1" applyBorder="1" applyAlignment="1" applyProtection="1">
      <alignment horizontal="center"/>
      <protection hidden="1"/>
    </xf>
    <xf numFmtId="0" fontId="25" fillId="5" borderId="22" xfId="2" applyFont="1" applyFill="1" applyBorder="1" applyAlignment="1" applyProtection="1">
      <alignment horizontal="center"/>
      <protection hidden="1"/>
    </xf>
    <xf numFmtId="0" fontId="25" fillId="5" borderId="23" xfId="2" applyFont="1" applyFill="1" applyBorder="1" applyAlignment="1" applyProtection="1">
      <alignment horizontal="center"/>
      <protection hidden="1"/>
    </xf>
    <xf numFmtId="0" fontId="9" fillId="0" borderId="20" xfId="0" applyFont="1" applyBorder="1" applyAlignment="1" applyProtection="1">
      <alignment horizontal="center"/>
      <protection hidden="1"/>
    </xf>
    <xf numFmtId="0" fontId="10" fillId="0" borderId="20" xfId="2" applyFont="1" applyBorder="1" applyAlignment="1" applyProtection="1">
      <alignment horizontal="center"/>
      <protection hidden="1"/>
    </xf>
    <xf numFmtId="0" fontId="0" fillId="0" borderId="20" xfId="0" applyBorder="1" applyAlignment="1" applyProtection="1">
      <alignment horizontal="center"/>
      <protection hidden="1"/>
    </xf>
    <xf numFmtId="0" fontId="10" fillId="3" borderId="20" xfId="2" applyFont="1" applyFill="1" applyBorder="1" applyAlignment="1" applyProtection="1">
      <alignment horizontal="center"/>
      <protection hidden="1"/>
    </xf>
    <xf numFmtId="0" fontId="0" fillId="3" borderId="20" xfId="0" applyFill="1" applyBorder="1" applyAlignment="1" applyProtection="1">
      <alignment horizontal="center"/>
      <protection hidden="1"/>
    </xf>
    <xf numFmtId="0" fontId="0" fillId="4" borderId="20" xfId="0" applyFill="1" applyBorder="1" applyAlignment="1" applyProtection="1">
      <alignment horizontal="center"/>
      <protection hidden="1"/>
    </xf>
    <xf numFmtId="0" fontId="4" fillId="0" borderId="21" xfId="0" applyFont="1" applyBorder="1" applyAlignment="1" applyProtection="1">
      <alignment horizontal="left" wrapText="1"/>
      <protection hidden="1"/>
    </xf>
    <xf numFmtId="0" fontId="4" fillId="0" borderId="22" xfId="0" applyFont="1" applyBorder="1" applyAlignment="1" applyProtection="1">
      <alignment horizontal="left" wrapText="1"/>
      <protection hidden="1"/>
    </xf>
    <xf numFmtId="0" fontId="4" fillId="0" borderId="23" xfId="0" applyFont="1" applyBorder="1" applyAlignment="1" applyProtection="1">
      <alignment horizontal="left" wrapText="1"/>
      <protection hidden="1"/>
    </xf>
    <xf numFmtId="0" fontId="5" fillId="0" borderId="21"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locked="0" hidden="1"/>
    </xf>
    <xf numFmtId="0" fontId="5" fillId="2" borderId="20" xfId="0" applyFont="1" applyFill="1" applyBorder="1" applyAlignment="1" applyProtection="1">
      <alignment horizontal="center" vertical="center" wrapText="1"/>
      <protection locked="0" hidden="1"/>
    </xf>
    <xf numFmtId="0" fontId="5" fillId="3" borderId="22" xfId="0" applyFont="1" applyFill="1" applyBorder="1" applyAlignment="1" applyProtection="1">
      <alignment horizontal="center" vertical="center" wrapText="1"/>
      <protection locked="0" hidden="1"/>
    </xf>
    <xf numFmtId="0" fontId="4" fillId="0" borderId="21" xfId="0" applyFont="1" applyBorder="1" applyAlignment="1" applyProtection="1">
      <alignment horizontal="center"/>
      <protection hidden="1"/>
    </xf>
    <xf numFmtId="0" fontId="4" fillId="0" borderId="22" xfId="0" applyFont="1" applyBorder="1" applyAlignment="1" applyProtection="1">
      <alignment horizontal="center"/>
      <protection hidden="1"/>
    </xf>
    <xf numFmtId="0" fontId="4" fillId="0" borderId="23" xfId="0" applyFont="1" applyBorder="1" applyAlignment="1" applyProtection="1">
      <alignment horizontal="center"/>
      <protection hidden="1"/>
    </xf>
    <xf numFmtId="0" fontId="4" fillId="0" borderId="21" xfId="0" applyFont="1" applyBorder="1" applyAlignment="1" applyProtection="1">
      <alignment horizontal="center" wrapText="1"/>
      <protection hidden="1"/>
    </xf>
    <xf numFmtId="0" fontId="4" fillId="0" borderId="22" xfId="0" applyFont="1" applyBorder="1" applyAlignment="1" applyProtection="1">
      <alignment horizontal="center" wrapText="1"/>
      <protection hidden="1"/>
    </xf>
    <xf numFmtId="0" fontId="3" fillId="0" borderId="20" xfId="0" applyFont="1" applyBorder="1" applyAlignment="1" applyProtection="1">
      <alignment horizontal="center"/>
      <protection locked="0" hidden="1"/>
    </xf>
    <xf numFmtId="0" fontId="14" fillId="0" borderId="20" xfId="0" applyFont="1" applyBorder="1" applyAlignment="1" applyProtection="1">
      <alignment horizontal="center"/>
      <protection hidden="1"/>
    </xf>
    <xf numFmtId="0" fontId="22" fillId="6" borderId="0" xfId="0" applyFont="1" applyFill="1" applyProtection="1">
      <protection hidden="1"/>
    </xf>
    <xf numFmtId="0" fontId="22" fillId="7" borderId="0" xfId="0" applyFont="1" applyFill="1" applyProtection="1">
      <protection hidden="1"/>
    </xf>
    <xf numFmtId="0" fontId="27" fillId="6" borderId="1" xfId="0" applyFont="1" applyFill="1" applyBorder="1" applyAlignment="1" applyProtection="1">
      <alignment horizontal="center" vertical="center"/>
      <protection hidden="1"/>
    </xf>
    <xf numFmtId="0" fontId="28" fillId="7" borderId="0" xfId="0" applyFont="1" applyFill="1" applyProtection="1">
      <protection hidden="1"/>
    </xf>
    <xf numFmtId="0" fontId="22" fillId="8" borderId="1" xfId="0" applyFont="1" applyFill="1" applyBorder="1" applyProtection="1">
      <protection hidden="1"/>
    </xf>
    <xf numFmtId="0" fontId="29" fillId="8" borderId="1" xfId="0" applyFont="1" applyFill="1" applyBorder="1" applyAlignment="1" applyProtection="1">
      <alignment horizontal="left" vertical="center"/>
      <protection hidden="1"/>
    </xf>
    <xf numFmtId="0" fontId="30" fillId="9" borderId="1" xfId="0" applyFont="1" applyFill="1" applyBorder="1" applyAlignment="1" applyProtection="1">
      <alignment horizontal="left" vertical="center" wrapText="1"/>
      <protection hidden="1"/>
    </xf>
    <xf numFmtId="0" fontId="22" fillId="6" borderId="2" xfId="0" applyFont="1" applyFill="1" applyBorder="1" applyAlignment="1" applyProtection="1">
      <alignment horizontal="center"/>
      <protection hidden="1"/>
    </xf>
    <xf numFmtId="0" fontId="28" fillId="6" borderId="0" xfId="0" applyFont="1" applyFill="1" applyProtection="1">
      <protection hidden="1"/>
    </xf>
    <xf numFmtId="0" fontId="29" fillId="7" borderId="3" xfId="0" applyFont="1" applyFill="1" applyBorder="1" applyAlignment="1" applyProtection="1">
      <alignment horizontal="right"/>
      <protection hidden="1"/>
    </xf>
    <xf numFmtId="0" fontId="29" fillId="7" borderId="4" xfId="0" applyFont="1" applyFill="1" applyBorder="1" applyProtection="1">
      <protection hidden="1"/>
    </xf>
    <xf numFmtId="0" fontId="28" fillId="7" borderId="4" xfId="0" applyFont="1" applyFill="1" applyBorder="1" applyProtection="1">
      <protection hidden="1"/>
    </xf>
    <xf numFmtId="165" fontId="28" fillId="9" borderId="3" xfId="1" applyNumberFormat="1" applyFont="1" applyFill="1" applyBorder="1" applyAlignment="1" applyProtection="1">
      <protection hidden="1"/>
    </xf>
    <xf numFmtId="0" fontId="29" fillId="7" borderId="5" xfId="0" applyFont="1" applyFill="1" applyBorder="1" applyAlignment="1" applyProtection="1">
      <alignment horizontal="right" vertical="top"/>
      <protection hidden="1"/>
    </xf>
    <xf numFmtId="0" fontId="29" fillId="7" borderId="6" xfId="0" applyFont="1" applyFill="1" applyBorder="1" applyAlignment="1" applyProtection="1">
      <alignment wrapText="1"/>
      <protection hidden="1"/>
    </xf>
    <xf numFmtId="0" fontId="22" fillId="7" borderId="6" xfId="0" applyFont="1" applyFill="1" applyBorder="1" applyProtection="1">
      <protection hidden="1"/>
    </xf>
    <xf numFmtId="0" fontId="28" fillId="7" borderId="5" xfId="0" applyFont="1" applyFill="1" applyBorder="1" applyAlignment="1" applyProtection="1">
      <alignment vertical="top" wrapText="1"/>
      <protection hidden="1"/>
    </xf>
    <xf numFmtId="0" fontId="22" fillId="10" borderId="0" xfId="0" applyFont="1" applyFill="1" applyProtection="1">
      <protection hidden="1"/>
    </xf>
    <xf numFmtId="0" fontId="28" fillId="7" borderId="7" xfId="0" applyFont="1" applyFill="1" applyBorder="1" applyAlignment="1" applyProtection="1">
      <alignment vertical="center"/>
      <protection hidden="1"/>
    </xf>
    <xf numFmtId="0" fontId="28" fillId="7" borderId="8" xfId="0" applyFont="1" applyFill="1" applyBorder="1" applyProtection="1">
      <protection hidden="1"/>
    </xf>
    <xf numFmtId="0" fontId="22" fillId="7" borderId="9" xfId="0" applyFont="1" applyFill="1" applyBorder="1" applyProtection="1">
      <protection hidden="1"/>
    </xf>
    <xf numFmtId="165" fontId="28" fillId="9" borderId="10" xfId="1" applyNumberFormat="1" applyFont="1" applyFill="1" applyBorder="1" applyAlignment="1" applyProtection="1">
      <protection hidden="1"/>
    </xf>
    <xf numFmtId="165" fontId="28" fillId="7" borderId="0" xfId="0" applyNumberFormat="1" applyFont="1" applyFill="1" applyProtection="1">
      <protection hidden="1"/>
    </xf>
    <xf numFmtId="0" fontId="28" fillId="7" borderId="11" xfId="0" applyFont="1" applyFill="1" applyBorder="1" applyProtection="1">
      <protection hidden="1"/>
    </xf>
    <xf numFmtId="0" fontId="28" fillId="7" borderId="1" xfId="0" applyFont="1" applyFill="1" applyBorder="1" applyProtection="1">
      <protection hidden="1"/>
    </xf>
    <xf numFmtId="0" fontId="28" fillId="7" borderId="1" xfId="0" applyFont="1" applyFill="1" applyBorder="1" applyAlignment="1" applyProtection="1">
      <alignment horizontal="center"/>
      <protection hidden="1"/>
    </xf>
    <xf numFmtId="0" fontId="29" fillId="7" borderId="0" xfId="0" applyFont="1" applyFill="1" applyProtection="1">
      <protection hidden="1"/>
    </xf>
    <xf numFmtId="0" fontId="28" fillId="7" borderId="9" xfId="0" applyFont="1" applyFill="1" applyBorder="1" applyAlignment="1" applyProtection="1">
      <alignment horizontal="left" wrapText="1"/>
      <protection hidden="1"/>
    </xf>
    <xf numFmtId="0" fontId="28" fillId="7" borderId="8" xfId="0" applyFont="1" applyFill="1" applyBorder="1" applyAlignment="1" applyProtection="1">
      <alignment horizontal="left" wrapText="1"/>
      <protection hidden="1"/>
    </xf>
    <xf numFmtId="0" fontId="28" fillId="7" borderId="9" xfId="0" applyFont="1" applyFill="1" applyBorder="1" applyAlignment="1" applyProtection="1">
      <alignment horizontal="left" wrapText="1"/>
      <protection hidden="1"/>
    </xf>
    <xf numFmtId="0" fontId="22" fillId="11" borderId="1" xfId="0" applyFont="1" applyFill="1" applyBorder="1" applyAlignment="1" applyProtection="1">
      <alignment horizontal="center"/>
      <protection hidden="1"/>
    </xf>
    <xf numFmtId="0" fontId="22" fillId="11" borderId="12" xfId="0" applyFont="1" applyFill="1" applyBorder="1" applyAlignment="1" applyProtection="1">
      <alignment horizontal="center"/>
      <protection hidden="1"/>
    </xf>
    <xf numFmtId="2" fontId="22" fillId="11" borderId="12" xfId="0" applyNumberFormat="1" applyFont="1" applyFill="1" applyBorder="1" applyAlignment="1" applyProtection="1">
      <alignment horizontal="center"/>
      <protection hidden="1"/>
    </xf>
    <xf numFmtId="0" fontId="22" fillId="11" borderId="13" xfId="0" applyFont="1" applyFill="1" applyBorder="1" applyAlignment="1" applyProtection="1">
      <alignment horizontal="center"/>
      <protection hidden="1"/>
    </xf>
    <xf numFmtId="2" fontId="22" fillId="11" borderId="13" xfId="0" applyNumberFormat="1" applyFont="1" applyFill="1" applyBorder="1" applyAlignment="1" applyProtection="1">
      <alignment horizontal="center"/>
      <protection hidden="1"/>
    </xf>
    <xf numFmtId="0" fontId="22" fillId="11" borderId="0" xfId="0" applyFont="1" applyFill="1" applyProtection="1">
      <protection hidden="1"/>
    </xf>
    <xf numFmtId="0" fontId="28" fillId="7" borderId="14" xfId="0" applyFont="1" applyFill="1" applyBorder="1" applyAlignment="1" applyProtection="1">
      <alignment vertical="center"/>
      <protection hidden="1"/>
    </xf>
    <xf numFmtId="0" fontId="28" fillId="7" borderId="15" xfId="0" applyFont="1" applyFill="1" applyBorder="1" applyProtection="1">
      <protection hidden="1"/>
    </xf>
    <xf numFmtId="0" fontId="22" fillId="7" borderId="16" xfId="0" applyFont="1" applyFill="1" applyBorder="1" applyProtection="1">
      <protection hidden="1"/>
    </xf>
    <xf numFmtId="165" fontId="28" fillId="9" borderId="17" xfId="1" applyNumberFormat="1" applyFont="1" applyFill="1" applyBorder="1" applyAlignment="1" applyProtection="1">
      <protection hidden="1"/>
    </xf>
    <xf numFmtId="0" fontId="31" fillId="11" borderId="0" xfId="0" applyFont="1" applyFill="1" applyProtection="1">
      <protection hidden="1"/>
    </xf>
    <xf numFmtId="0" fontId="29" fillId="7" borderId="3" xfId="0" applyFont="1" applyFill="1" applyBorder="1" applyAlignment="1" applyProtection="1">
      <alignment horizontal="right" vertical="center"/>
      <protection hidden="1"/>
    </xf>
    <xf numFmtId="0" fontId="29" fillId="7" borderId="18" xfId="0" applyFont="1" applyFill="1" applyBorder="1" applyProtection="1">
      <protection hidden="1"/>
    </xf>
    <xf numFmtId="165" fontId="28" fillId="7" borderId="3" xfId="1" applyNumberFormat="1" applyFont="1" applyFill="1" applyBorder="1" applyAlignment="1" applyProtection="1">
      <protection hidden="1"/>
    </xf>
    <xf numFmtId="0" fontId="29" fillId="7" borderId="0" xfId="0" applyFont="1" applyFill="1" applyBorder="1" applyAlignment="1" applyProtection="1">
      <alignment horizontal="right" vertical="center"/>
      <protection hidden="1"/>
    </xf>
    <xf numFmtId="0" fontId="29" fillId="7" borderId="0" xfId="0" applyFont="1" applyFill="1" applyBorder="1" applyProtection="1">
      <protection hidden="1"/>
    </xf>
    <xf numFmtId="0" fontId="28" fillId="7" borderId="0" xfId="0" applyFont="1" applyFill="1" applyBorder="1" applyProtection="1">
      <protection hidden="1"/>
    </xf>
    <xf numFmtId="165" fontId="28" fillId="7" borderId="0" xfId="1" applyNumberFormat="1" applyFont="1" applyFill="1" applyBorder="1" applyAlignment="1" applyProtection="1">
      <protection hidden="1"/>
    </xf>
    <xf numFmtId="0" fontId="22" fillId="7" borderId="0" xfId="0" applyFont="1" applyFill="1" applyBorder="1" applyAlignment="1" applyProtection="1">
      <alignment horizontal="left" wrapText="1"/>
      <protection hidden="1"/>
    </xf>
    <xf numFmtId="0" fontId="22" fillId="6" borderId="0" xfId="0" applyFont="1" applyFill="1" applyAlignment="1" applyProtection="1">
      <alignment horizontal="left" wrapText="1"/>
      <protection hidden="1"/>
    </xf>
    <xf numFmtId="0" fontId="22" fillId="7" borderId="0" xfId="0" applyFont="1" applyFill="1" applyAlignment="1" applyProtection="1">
      <alignment horizontal="left" wrapText="1"/>
      <protection hidden="1"/>
    </xf>
    <xf numFmtId="0" fontId="32" fillId="7" borderId="0" xfId="0" applyFont="1" applyFill="1"/>
    <xf numFmtId="0" fontId="33" fillId="7" borderId="0" xfId="0" applyFont="1" applyFill="1"/>
    <xf numFmtId="0" fontId="34" fillId="0" borderId="21" xfId="0" applyFont="1" applyBorder="1" applyAlignment="1" applyProtection="1">
      <alignment wrapText="1"/>
      <protection hidden="1"/>
    </xf>
    <xf numFmtId="0" fontId="24" fillId="0" borderId="23" xfId="0" applyFont="1" applyBorder="1" applyAlignment="1" applyProtection="1">
      <alignment horizontal="left" wrapText="1"/>
      <protection hidden="1"/>
    </xf>
    <xf numFmtId="0" fontId="26" fillId="3" borderId="25" xfId="0" applyFont="1" applyFill="1" applyBorder="1" applyAlignment="1" applyProtection="1">
      <alignment horizontal="center"/>
      <protection hidden="1"/>
    </xf>
    <xf numFmtId="0" fontId="26" fillId="3" borderId="29" xfId="0" applyFont="1" applyFill="1" applyBorder="1" applyAlignment="1" applyProtection="1">
      <alignment horizontal="center"/>
      <protection hidden="1"/>
    </xf>
    <xf numFmtId="1" fontId="4" fillId="3" borderId="26" xfId="0" applyNumberFormat="1" applyFont="1" applyFill="1" applyBorder="1" applyProtection="1">
      <protection hidden="1"/>
    </xf>
    <xf numFmtId="17" fontId="19" fillId="3" borderId="33" xfId="0" applyNumberFormat="1" applyFont="1" applyFill="1" applyBorder="1" applyAlignment="1" applyProtection="1">
      <alignment horizontal="center"/>
      <protection hidden="1"/>
    </xf>
    <xf numFmtId="17" fontId="15" fillId="3" borderId="34" xfId="0" applyNumberFormat="1" applyFont="1" applyFill="1" applyBorder="1" applyAlignment="1" applyProtection="1">
      <alignment horizontal="center"/>
      <protection hidden="1"/>
    </xf>
    <xf numFmtId="0" fontId="26" fillId="2" borderId="33" xfId="0" applyFont="1" applyFill="1" applyBorder="1" applyAlignment="1" applyProtection="1">
      <alignment horizontal="center"/>
      <protection locked="0" hidden="1"/>
    </xf>
    <xf numFmtId="0" fontId="26" fillId="2" borderId="34" xfId="0" applyFont="1" applyFill="1" applyBorder="1" applyAlignment="1" applyProtection="1">
      <alignment horizontal="center"/>
      <protection locked="0" hidden="1"/>
    </xf>
    <xf numFmtId="0" fontId="26" fillId="2" borderId="35" xfId="0" applyFont="1" applyFill="1" applyBorder="1" applyAlignment="1" applyProtection="1">
      <alignment horizontal="center"/>
      <protection locked="0" hidden="1"/>
    </xf>
    <xf numFmtId="0" fontId="26" fillId="2" borderId="36" xfId="0" applyFont="1" applyFill="1" applyBorder="1" applyAlignment="1" applyProtection="1">
      <alignment horizontal="center"/>
      <protection locked="0" hidden="1"/>
    </xf>
    <xf numFmtId="1" fontId="35" fillId="3" borderId="37" xfId="0" applyNumberFormat="1" applyFont="1" applyFill="1" applyBorder="1" applyAlignment="1" applyProtection="1">
      <alignment horizontal="center"/>
      <protection hidden="1"/>
    </xf>
    <xf numFmtId="0" fontId="20" fillId="3" borderId="28" xfId="0" applyFont="1" applyFill="1" applyBorder="1" applyAlignment="1" applyProtection="1">
      <alignment horizontal="center" wrapText="1"/>
      <protection hidden="1"/>
    </xf>
    <xf numFmtId="1" fontId="21" fillId="3" borderId="19" xfId="0" applyNumberFormat="1" applyFont="1" applyFill="1" applyBorder="1" applyAlignment="1" applyProtection="1">
      <alignment horizontal="center"/>
      <protection hidden="1"/>
    </xf>
    <xf numFmtId="1" fontId="21" fillId="3" borderId="24" xfId="0" applyNumberFormat="1" applyFont="1" applyFill="1" applyBorder="1" applyAlignment="1" applyProtection="1">
      <alignment horizontal="center"/>
      <protection hidden="1"/>
    </xf>
    <xf numFmtId="0" fontId="19" fillId="12" borderId="38" xfId="0" applyFont="1" applyFill="1" applyBorder="1" applyAlignment="1" applyProtection="1">
      <alignment horizontal="center" vertical="center" wrapText="1"/>
      <protection hidden="1"/>
    </xf>
    <xf numFmtId="0" fontId="19" fillId="12" borderId="39" xfId="0" applyFont="1" applyFill="1" applyBorder="1" applyAlignment="1" applyProtection="1">
      <alignment horizontal="center" vertical="center" wrapText="1"/>
      <protection hidden="1"/>
    </xf>
    <xf numFmtId="17" fontId="0" fillId="12" borderId="40" xfId="0" applyNumberFormat="1" applyFill="1" applyBorder="1" applyAlignment="1" applyProtection="1">
      <alignment horizontal="center"/>
      <protection hidden="1"/>
    </xf>
    <xf numFmtId="17" fontId="0" fillId="12" borderId="41" xfId="0" applyNumberFormat="1" applyFill="1" applyBorder="1" applyAlignment="1" applyProtection="1">
      <alignment horizontal="center"/>
      <protection hidden="1"/>
    </xf>
    <xf numFmtId="0" fontId="19" fillId="12" borderId="42" xfId="0" applyFont="1" applyFill="1" applyBorder="1" applyAlignment="1" applyProtection="1">
      <alignment horizontal="center" vertical="center" wrapText="1"/>
      <protection hidden="1"/>
    </xf>
    <xf numFmtId="0" fontId="19" fillId="12" borderId="24" xfId="0" applyFont="1" applyFill="1" applyBorder="1" applyAlignment="1" applyProtection="1">
      <alignment horizontal="center" vertical="center" wrapText="1"/>
      <protection hidden="1"/>
    </xf>
    <xf numFmtId="0" fontId="0" fillId="12" borderId="20" xfId="0" applyFill="1" applyBorder="1" applyAlignment="1" applyProtection="1">
      <alignment horizontal="center"/>
      <protection hidden="1"/>
    </xf>
    <xf numFmtId="0" fontId="15" fillId="12" borderId="34" xfId="0" applyFont="1" applyFill="1" applyBorder="1" applyAlignment="1" applyProtection="1">
      <alignment horizontal="center"/>
      <protection hidden="1"/>
    </xf>
    <xf numFmtId="0" fontId="26" fillId="12" borderId="43" xfId="0" applyFont="1" applyFill="1" applyBorder="1" applyAlignment="1" applyProtection="1">
      <alignment horizontal="center" wrapText="1"/>
      <protection hidden="1"/>
    </xf>
    <xf numFmtId="0" fontId="26" fillId="12" borderId="44" xfId="0" applyFont="1" applyFill="1" applyBorder="1" applyAlignment="1" applyProtection="1">
      <alignment horizontal="center" wrapText="1"/>
      <protection hidden="1"/>
    </xf>
    <xf numFmtId="1" fontId="26" fillId="12" borderId="36" xfId="0" applyNumberFormat="1" applyFont="1" applyFill="1" applyBorder="1" applyAlignment="1" applyProtection="1">
      <alignment horizontal="center"/>
      <protection hidden="1"/>
    </xf>
    <xf numFmtId="1" fontId="4" fillId="12" borderId="37" xfId="0" applyNumberFormat="1" applyFont="1" applyFill="1" applyBorder="1" applyAlignment="1" applyProtection="1">
      <alignment horizontal="center"/>
      <protection hidden="1"/>
    </xf>
    <xf numFmtId="0" fontId="18" fillId="12" borderId="30" xfId="0" applyFont="1" applyFill="1" applyBorder="1" applyAlignment="1" applyProtection="1">
      <alignment horizontal="center"/>
      <protection hidden="1"/>
    </xf>
    <xf numFmtId="0" fontId="19" fillId="12" borderId="31" xfId="0" applyFont="1" applyFill="1" applyBorder="1" applyAlignment="1" applyProtection="1">
      <alignment horizontal="center"/>
      <protection hidden="1"/>
    </xf>
    <xf numFmtId="0" fontId="19" fillId="12" borderId="32" xfId="0" applyFont="1" applyFill="1" applyBorder="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1"/>
          <a:extLst>
            <a:ext uri="{FF2B5EF4-FFF2-40B4-BE49-F238E27FC236}">
              <a16:creationId xmlns:a16="http://schemas.microsoft.com/office/drawing/2014/main" id="{00000000-0008-0000-0200-000003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2</xdr:col>
      <xdr:colOff>914400</xdr:colOff>
      <xdr:row>5</xdr:row>
      <xdr:rowOff>38100</xdr:rowOff>
    </xdr:from>
    <xdr:to>
      <xdr:col>2</xdr:col>
      <xdr:colOff>1200150</xdr:colOff>
      <xdr:row>5</xdr:row>
      <xdr:rowOff>171450</xdr:rowOff>
    </xdr:to>
    <xdr:sp macro="" textlink="">
      <xdr:nvSpPr>
        <xdr:cNvPr id="1029" name="Arrow: Notched Right 8">
          <a:extLst>
            <a:ext uri="{FF2B5EF4-FFF2-40B4-BE49-F238E27FC236}">
              <a16:creationId xmlns:a16="http://schemas.microsoft.com/office/drawing/2014/main" id="{00000000-0008-0000-0200-000005040000}"/>
            </a:ext>
          </a:extLst>
        </xdr:cNvPr>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2066925</xdr:colOff>
      <xdr:row>6</xdr:row>
      <xdr:rowOff>209550</xdr:rowOff>
    </xdr:from>
    <xdr:to>
      <xdr:col>3</xdr:col>
      <xdr:colOff>85725</xdr:colOff>
      <xdr:row>6</xdr:row>
      <xdr:rowOff>381000</xdr:rowOff>
    </xdr:to>
    <xdr:sp macro="" textlink="">
      <xdr:nvSpPr>
        <xdr:cNvPr id="1030" name="Arrow: Notched Right 9">
          <a:extLst>
            <a:ext uri="{FF2B5EF4-FFF2-40B4-BE49-F238E27FC236}">
              <a16:creationId xmlns:a16="http://schemas.microsoft.com/office/drawing/2014/main" id="{00000000-0008-0000-0200-000006040000}"/>
            </a:ext>
          </a:extLst>
        </xdr:cNvPr>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904875</xdr:colOff>
      <xdr:row>3</xdr:row>
      <xdr:rowOff>200025</xdr:rowOff>
    </xdr:from>
    <xdr:to>
      <xdr:col>2</xdr:col>
      <xdr:colOff>1181100</xdr:colOff>
      <xdr:row>3</xdr:row>
      <xdr:rowOff>342900</xdr:rowOff>
    </xdr:to>
    <xdr:sp macro="" textlink="">
      <xdr:nvSpPr>
        <xdr:cNvPr id="1031" name="Arrow: Notched Right 10">
          <a:extLst>
            <a:ext uri="{FF2B5EF4-FFF2-40B4-BE49-F238E27FC236}">
              <a16:creationId xmlns:a16="http://schemas.microsoft.com/office/drawing/2014/main" id="{00000000-0008-0000-0200-000007040000}"/>
            </a:ext>
          </a:extLst>
        </xdr:cNvPr>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ESS@4%25"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tabSelected="1" view="pageLayout" zoomScaleNormal="100" workbookViewId="0">
      <selection activeCell="A12" sqref="A12:E12"/>
    </sheetView>
  </sheetViews>
  <sheetFormatPr defaultRowHeight="15" x14ac:dyDescent="0.25"/>
  <cols>
    <col min="1" max="1" width="16.85546875" customWidth="1"/>
    <col min="2" max="2" width="14.140625" customWidth="1"/>
    <col min="3" max="3" width="13.5703125" customWidth="1"/>
    <col min="4" max="4" width="12.42578125" customWidth="1"/>
    <col min="5" max="5" width="16.42578125" customWidth="1"/>
    <col min="6" max="6" width="14.85546875" customWidth="1"/>
    <col min="7" max="10" width="9.140625" customWidth="1"/>
    <col min="13" max="13" width="0" hidden="1" customWidth="1"/>
    <col min="17" max="17" width="16.7109375" customWidth="1"/>
  </cols>
  <sheetData>
    <row r="1" spans="1:7" ht="21" x14ac:dyDescent="0.35">
      <c r="A1" s="53" t="s">
        <v>86</v>
      </c>
      <c r="B1" s="53"/>
      <c r="C1" s="53"/>
      <c r="D1" s="53"/>
      <c r="E1" s="53"/>
      <c r="F1" s="53"/>
    </row>
    <row r="2" spans="1:7" ht="17.25" x14ac:dyDescent="0.25">
      <c r="A2" s="54" t="s">
        <v>76</v>
      </c>
      <c r="B2" s="54"/>
      <c r="C2" s="54"/>
      <c r="D2" s="54"/>
      <c r="E2" s="54"/>
      <c r="F2" s="54"/>
    </row>
    <row r="3" spans="1:7" ht="15.75" x14ac:dyDescent="0.25">
      <c r="A3" s="25" t="s">
        <v>34</v>
      </c>
      <c r="B3" s="55"/>
      <c r="C3" s="55"/>
      <c r="D3" s="56"/>
      <c r="E3" s="25" t="s">
        <v>35</v>
      </c>
      <c r="F3" s="23"/>
    </row>
    <row r="4" spans="1:7" ht="15.75" x14ac:dyDescent="0.25">
      <c r="A4" s="25" t="s">
        <v>71</v>
      </c>
      <c r="B4" s="75" t="s">
        <v>85</v>
      </c>
      <c r="C4" s="75"/>
      <c r="D4" s="76" t="s">
        <v>72</v>
      </c>
      <c r="E4" s="76"/>
      <c r="F4" s="24">
        <v>0.17</v>
      </c>
    </row>
    <row r="5" spans="1:7" ht="24" customHeight="1" x14ac:dyDescent="0.25">
      <c r="A5" s="72" t="s">
        <v>70</v>
      </c>
      <c r="B5" s="73"/>
      <c r="C5" s="24">
        <v>0.08</v>
      </c>
      <c r="D5" s="74" t="s">
        <v>73</v>
      </c>
      <c r="E5" s="74"/>
      <c r="F5" s="24">
        <v>0.17</v>
      </c>
    </row>
    <row r="6" spans="1:7" ht="31.5" x14ac:dyDescent="0.25">
      <c r="A6" s="1" t="s">
        <v>65</v>
      </c>
      <c r="B6" s="2" t="s">
        <v>36</v>
      </c>
      <c r="C6" s="2" t="s">
        <v>37</v>
      </c>
      <c r="D6" s="3" t="s">
        <v>38</v>
      </c>
      <c r="E6" s="3" t="s">
        <v>39</v>
      </c>
      <c r="F6" s="2" t="s">
        <v>40</v>
      </c>
    </row>
    <row r="7" spans="1:7" ht="17.25" customHeight="1" x14ac:dyDescent="0.25">
      <c r="A7" s="17">
        <v>61300</v>
      </c>
      <c r="B7" s="4">
        <f>A7*F5</f>
        <v>10421</v>
      </c>
      <c r="C7" s="4">
        <f>A7*C5</f>
        <v>4904</v>
      </c>
      <c r="D7" s="12">
        <f>(A7+B7+C7)*4</f>
        <v>306500</v>
      </c>
      <c r="E7" s="13" t="s">
        <v>41</v>
      </c>
      <c r="F7" s="10">
        <f>SUM(D7:E7)</f>
        <v>306500</v>
      </c>
      <c r="G7" s="5"/>
    </row>
    <row r="8" spans="1:7" ht="13.5" customHeight="1" x14ac:dyDescent="0.25">
      <c r="A8" s="6" t="s">
        <v>61</v>
      </c>
      <c r="B8" s="57">
        <f>A9*F4</f>
        <v>10727</v>
      </c>
      <c r="C8" s="57">
        <f>A9*C5</f>
        <v>5048</v>
      </c>
      <c r="D8" s="58" t="s">
        <v>41</v>
      </c>
      <c r="E8" s="57">
        <f>(A9+B8+C8)*8</f>
        <v>631000</v>
      </c>
      <c r="F8" s="59">
        <f>SUM(E8)</f>
        <v>631000</v>
      </c>
      <c r="G8" s="5"/>
    </row>
    <row r="9" spans="1:7" ht="12" customHeight="1" x14ac:dyDescent="0.25">
      <c r="A9" s="22">
        <f>ROUND(A7+A7/100*3,-2)</f>
        <v>63100</v>
      </c>
      <c r="B9" s="57"/>
      <c r="C9" s="57"/>
      <c r="D9" s="58"/>
      <c r="E9" s="57"/>
      <c r="F9" s="59"/>
      <c r="G9" s="5"/>
    </row>
    <row r="10" spans="1:7" x14ac:dyDescent="0.25">
      <c r="A10" s="43" t="s">
        <v>82</v>
      </c>
      <c r="B10" s="44"/>
      <c r="C10" s="44"/>
      <c r="D10" s="26" t="s">
        <v>83</v>
      </c>
      <c r="E10" s="39">
        <v>8</v>
      </c>
      <c r="F10" s="20">
        <f>A7*0.05*E10</f>
        <v>24520</v>
      </c>
      <c r="G10" s="5"/>
    </row>
    <row r="11" spans="1:7" x14ac:dyDescent="0.25">
      <c r="A11" s="43" t="s">
        <v>74</v>
      </c>
      <c r="B11" s="44"/>
      <c r="C11" s="44"/>
      <c r="D11" s="44"/>
      <c r="E11" s="45"/>
      <c r="F11" s="18"/>
      <c r="G11" s="5"/>
    </row>
    <row r="12" spans="1:7" x14ac:dyDescent="0.25">
      <c r="A12" s="43" t="s">
        <v>81</v>
      </c>
      <c r="B12" s="44"/>
      <c r="C12" s="44"/>
      <c r="D12" s="44"/>
      <c r="E12" s="45"/>
      <c r="F12" s="18"/>
      <c r="G12" s="5"/>
    </row>
    <row r="13" spans="1:7" x14ac:dyDescent="0.25">
      <c r="A13" s="77" t="s">
        <v>75</v>
      </c>
      <c r="B13" s="78"/>
      <c r="C13" s="78"/>
      <c r="D13" s="79"/>
      <c r="E13" s="27" t="s">
        <v>90</v>
      </c>
      <c r="F13" s="19">
        <f>IF(E13="BEFORE JULY",(A7+B7)/2,IF(E13="AFTER JULY",(A9+B8)/2,"0"))</f>
        <v>35860.5</v>
      </c>
      <c r="G13" s="5"/>
    </row>
    <row r="14" spans="1:7" x14ac:dyDescent="0.25">
      <c r="A14" s="43" t="s">
        <v>60</v>
      </c>
      <c r="B14" s="44"/>
      <c r="C14" s="44"/>
      <c r="D14" s="44"/>
      <c r="E14" s="45"/>
      <c r="F14" s="18"/>
      <c r="G14" s="5"/>
    </row>
    <row r="15" spans="1:7" x14ac:dyDescent="0.25">
      <c r="A15" s="82" t="s">
        <v>64</v>
      </c>
      <c r="B15" s="82"/>
      <c r="C15" s="82"/>
      <c r="D15" s="82"/>
      <c r="E15" s="82"/>
      <c r="F15" s="9">
        <f>SUM($F7:$F14)</f>
        <v>997880.5</v>
      </c>
      <c r="G15" s="5"/>
    </row>
    <row r="16" spans="1:7" ht="15" customHeight="1" x14ac:dyDescent="0.25">
      <c r="A16" s="69" t="s">
        <v>42</v>
      </c>
      <c r="B16" s="70"/>
      <c r="C16" s="70"/>
      <c r="D16" s="70"/>
      <c r="E16" s="71"/>
      <c r="F16" s="7">
        <v>-50000</v>
      </c>
    </row>
    <row r="17" spans="1:14" x14ac:dyDescent="0.25">
      <c r="A17" s="83" t="s">
        <v>43</v>
      </c>
      <c r="B17" s="83"/>
      <c r="C17" s="83"/>
      <c r="D17" s="83"/>
      <c r="E17" s="83"/>
      <c r="F17" s="9">
        <f>SUM(F15:F16)</f>
        <v>947880.5</v>
      </c>
      <c r="G17" s="5"/>
    </row>
    <row r="18" spans="1:14" x14ac:dyDescent="0.25">
      <c r="A18" s="46" t="s">
        <v>44</v>
      </c>
      <c r="B18" s="46"/>
      <c r="C18" s="46"/>
      <c r="D18" s="46"/>
      <c r="E18" s="46"/>
      <c r="F18" s="7"/>
    </row>
    <row r="19" spans="1:14" x14ac:dyDescent="0.25">
      <c r="A19" s="47" t="s">
        <v>45</v>
      </c>
      <c r="B19" s="47"/>
      <c r="C19" s="47"/>
      <c r="D19" s="47"/>
      <c r="E19" s="21">
        <v>140000</v>
      </c>
      <c r="F19" s="7"/>
      <c r="N19" s="8"/>
    </row>
    <row r="20" spans="1:14" x14ac:dyDescent="0.25">
      <c r="A20" s="47" t="s">
        <v>77</v>
      </c>
      <c r="B20" s="47"/>
      <c r="C20" s="48"/>
      <c r="D20" s="48"/>
      <c r="E20" s="21">
        <v>0</v>
      </c>
      <c r="F20" s="7"/>
    </row>
    <row r="21" spans="1:14" ht="15" customHeight="1" x14ac:dyDescent="0.25">
      <c r="A21" s="80" t="s">
        <v>46</v>
      </c>
      <c r="B21" s="81"/>
      <c r="C21" s="137" t="s">
        <v>89</v>
      </c>
      <c r="D21" s="138">
        <f>C7*4+C8*8</f>
        <v>60000</v>
      </c>
      <c r="E21" s="28">
        <v>0</v>
      </c>
      <c r="F21" s="7"/>
    </row>
    <row r="22" spans="1:14" x14ac:dyDescent="0.25">
      <c r="A22" s="47" t="s">
        <v>47</v>
      </c>
      <c r="B22" s="47"/>
      <c r="C22" s="49"/>
      <c r="D22" s="49"/>
      <c r="E22" s="21">
        <v>0</v>
      </c>
      <c r="F22" s="7"/>
    </row>
    <row r="23" spans="1:14" x14ac:dyDescent="0.25">
      <c r="A23" s="47" t="s">
        <v>48</v>
      </c>
      <c r="B23" s="47"/>
      <c r="C23" s="47"/>
      <c r="D23" s="47"/>
      <c r="E23" s="21">
        <v>0</v>
      </c>
      <c r="F23" s="7"/>
    </row>
    <row r="24" spans="1:14" x14ac:dyDescent="0.25">
      <c r="A24" s="47" t="s">
        <v>49</v>
      </c>
      <c r="B24" s="47"/>
      <c r="C24" s="47"/>
      <c r="D24" s="47"/>
      <c r="E24" s="21">
        <v>0</v>
      </c>
      <c r="F24" s="7"/>
    </row>
    <row r="25" spans="1:14" x14ac:dyDescent="0.25">
      <c r="A25" s="47" t="s">
        <v>50</v>
      </c>
      <c r="B25" s="47"/>
      <c r="C25" s="47"/>
      <c r="D25" s="47"/>
      <c r="E25" s="21">
        <v>0</v>
      </c>
      <c r="F25" s="7"/>
    </row>
    <row r="26" spans="1:14" x14ac:dyDescent="0.25">
      <c r="A26" s="69" t="s">
        <v>69</v>
      </c>
      <c r="B26" s="70"/>
      <c r="C26" s="70"/>
      <c r="D26" s="71"/>
      <c r="E26" s="21">
        <v>0</v>
      </c>
      <c r="F26" s="7"/>
    </row>
    <row r="27" spans="1:14" x14ac:dyDescent="0.25">
      <c r="A27" s="47" t="s">
        <v>63</v>
      </c>
      <c r="B27" s="47"/>
      <c r="C27" s="47"/>
      <c r="D27" s="47"/>
      <c r="E27" s="21">
        <v>0</v>
      </c>
      <c r="F27" s="7"/>
    </row>
    <row r="28" spans="1:14" x14ac:dyDescent="0.25">
      <c r="A28" s="65" t="s">
        <v>51</v>
      </c>
      <c r="B28" s="65"/>
      <c r="C28" s="65"/>
      <c r="D28" s="65"/>
      <c r="E28" s="65"/>
      <c r="F28" s="7">
        <f>E19+E20+E21+E22+E23+E24+E27+E25+E26</f>
        <v>140000</v>
      </c>
    </row>
    <row r="29" spans="1:14" x14ac:dyDescent="0.25">
      <c r="A29" s="63" t="s">
        <v>52</v>
      </c>
      <c r="B29" s="63"/>
      <c r="C29" s="63"/>
      <c r="D29" s="63"/>
      <c r="E29" s="63"/>
      <c r="F29" s="9">
        <f>F17-F28</f>
        <v>807880.5</v>
      </c>
    </row>
    <row r="30" spans="1:14" x14ac:dyDescent="0.25">
      <c r="A30" s="63" t="s">
        <v>53</v>
      </c>
      <c r="B30" s="63"/>
      <c r="C30" s="63"/>
      <c r="D30" s="63"/>
      <c r="E30" s="63"/>
      <c r="F30" s="31">
        <f>IF(F29&gt;500000,250000,0)*5%+IF(F29&gt;1000000,500000,IF(F29&gt;500000,F29-500000,0))*20%+IF(F29&gt;1000000,(F29-1000000),0)*30%</f>
        <v>74076.100000000006</v>
      </c>
    </row>
    <row r="31" spans="1:14" x14ac:dyDescent="0.25">
      <c r="A31" s="64" t="s">
        <v>54</v>
      </c>
      <c r="B31" s="65"/>
      <c r="C31" s="65"/>
      <c r="D31" s="65"/>
      <c r="E31" s="65"/>
      <c r="F31" s="7">
        <f>ROUND(F30*0.04,-1)</f>
        <v>2960</v>
      </c>
      <c r="M31" s="14">
        <f>SUM(A42+B42+C42+D42+E42+F42+A44+B44+C44+D44+E44+F44)</f>
        <v>77036.100000000006</v>
      </c>
    </row>
    <row r="32" spans="1:14" x14ac:dyDescent="0.25">
      <c r="A32" s="66" t="s">
        <v>58</v>
      </c>
      <c r="B32" s="67"/>
      <c r="C32" s="67"/>
      <c r="D32" s="67"/>
      <c r="E32" s="67"/>
      <c r="F32" s="32">
        <f>SUM(F30:F31)</f>
        <v>77036.100000000006</v>
      </c>
      <c r="M32" s="15">
        <f>M31-F39</f>
        <v>0</v>
      </c>
    </row>
    <row r="33" spans="1:6" x14ac:dyDescent="0.25">
      <c r="A33" s="50" t="s">
        <v>62</v>
      </c>
      <c r="B33" s="51"/>
      <c r="C33" s="51"/>
      <c r="D33" s="51"/>
      <c r="E33" s="52"/>
      <c r="F33" s="31">
        <f>ROUND(Calculation!E30,-1)*1.04</f>
        <v>77667.199999999997</v>
      </c>
    </row>
    <row r="34" spans="1:6" x14ac:dyDescent="0.25">
      <c r="A34" s="60" t="s">
        <v>59</v>
      </c>
      <c r="B34" s="61"/>
      <c r="C34" s="61"/>
      <c r="D34" s="61"/>
      <c r="E34" s="62"/>
      <c r="F34" s="29">
        <f>MIN(F32:F33)</f>
        <v>77036.100000000006</v>
      </c>
    </row>
    <row r="35" spans="1:6" x14ac:dyDescent="0.25">
      <c r="A35" s="67" t="s">
        <v>55</v>
      </c>
      <c r="B35" s="67"/>
      <c r="C35" s="67"/>
      <c r="D35" s="67"/>
      <c r="E35" s="67"/>
      <c r="F35" s="30">
        <v>0</v>
      </c>
    </row>
    <row r="36" spans="1:6" x14ac:dyDescent="0.25">
      <c r="A36" s="67" t="s">
        <v>56</v>
      </c>
      <c r="B36" s="67"/>
      <c r="C36" s="67"/>
      <c r="D36" s="67"/>
      <c r="E36" s="67"/>
      <c r="F36" s="11">
        <f>F34-F35</f>
        <v>77036.100000000006</v>
      </c>
    </row>
    <row r="37" spans="1:6" x14ac:dyDescent="0.25">
      <c r="A37" s="65" t="s">
        <v>57</v>
      </c>
      <c r="B37" s="65"/>
      <c r="C37" s="65"/>
      <c r="D37" s="65"/>
      <c r="E37" s="16">
        <v>12</v>
      </c>
      <c r="F37" s="7"/>
    </row>
    <row r="38" spans="1:6" s="33" customFormat="1" x14ac:dyDescent="0.25">
      <c r="A38" s="68" t="s">
        <v>87</v>
      </c>
      <c r="B38" s="68"/>
      <c r="C38" s="68"/>
      <c r="D38" s="68"/>
      <c r="E38" s="68"/>
      <c r="F38" s="38">
        <f>ROUND(F36/E37,-2)</f>
        <v>6400</v>
      </c>
    </row>
    <row r="39" spans="1:6" ht="15.75" thickBot="1" x14ac:dyDescent="0.3">
      <c r="A39" s="139" t="s">
        <v>68</v>
      </c>
      <c r="B39" s="140"/>
      <c r="C39" s="140"/>
      <c r="D39" s="140"/>
      <c r="E39" s="140"/>
      <c r="F39" s="141">
        <f>F34</f>
        <v>77036.100000000006</v>
      </c>
    </row>
    <row r="40" spans="1:6" ht="21" x14ac:dyDescent="0.35">
      <c r="A40" s="164" t="s">
        <v>79</v>
      </c>
      <c r="B40" s="165"/>
      <c r="C40" s="165"/>
      <c r="D40" s="165"/>
      <c r="E40" s="165"/>
      <c r="F40" s="166"/>
    </row>
    <row r="41" spans="1:6" x14ac:dyDescent="0.25">
      <c r="A41" s="142">
        <v>43891</v>
      </c>
      <c r="B41" s="34">
        <v>43922</v>
      </c>
      <c r="C41" s="34">
        <v>43952</v>
      </c>
      <c r="D41" s="34">
        <v>43983</v>
      </c>
      <c r="E41" s="34">
        <v>44013</v>
      </c>
      <c r="F41" s="143">
        <v>44044</v>
      </c>
    </row>
    <row r="42" spans="1:6" x14ac:dyDescent="0.25">
      <c r="A42" s="144">
        <f t="shared" ref="A42:F42" si="0">$F$38</f>
        <v>6400</v>
      </c>
      <c r="B42" s="35">
        <f t="shared" si="0"/>
        <v>6400</v>
      </c>
      <c r="C42" s="35">
        <f t="shared" si="0"/>
        <v>6400</v>
      </c>
      <c r="D42" s="35">
        <f t="shared" si="0"/>
        <v>6400</v>
      </c>
      <c r="E42" s="35">
        <f t="shared" si="0"/>
        <v>6400</v>
      </c>
      <c r="F42" s="145">
        <f t="shared" si="0"/>
        <v>6400</v>
      </c>
    </row>
    <row r="43" spans="1:6" s="33" customFormat="1" x14ac:dyDescent="0.25">
      <c r="A43" s="142">
        <v>44075</v>
      </c>
      <c r="B43" s="34">
        <v>44105</v>
      </c>
      <c r="C43" s="36" t="s">
        <v>66</v>
      </c>
      <c r="D43" s="34">
        <v>44166</v>
      </c>
      <c r="E43" s="34">
        <v>44197</v>
      </c>
      <c r="F43" s="143">
        <v>44228</v>
      </c>
    </row>
    <row r="44" spans="1:6" s="33" customFormat="1" ht="15.75" thickBot="1" x14ac:dyDescent="0.3">
      <c r="A44" s="146">
        <f t="shared" ref="A44:F44" si="1">$F$38</f>
        <v>6400</v>
      </c>
      <c r="B44" s="147">
        <f t="shared" si="1"/>
        <v>6400</v>
      </c>
      <c r="C44" s="147">
        <f t="shared" si="1"/>
        <v>6400</v>
      </c>
      <c r="D44" s="147">
        <f t="shared" si="1"/>
        <v>6400</v>
      </c>
      <c r="E44" s="147">
        <f t="shared" si="1"/>
        <v>6400</v>
      </c>
      <c r="F44" s="148">
        <f>F34-(A42+B42+C42+D42+E42+F42+A44+B44+C44+D44+E44)</f>
        <v>6636.1000000000058</v>
      </c>
    </row>
    <row r="45" spans="1:6" x14ac:dyDescent="0.25">
      <c r="A45" s="152" t="s">
        <v>88</v>
      </c>
      <c r="B45" s="153"/>
      <c r="C45" s="154">
        <v>43983</v>
      </c>
      <c r="D45" s="154">
        <v>44075</v>
      </c>
      <c r="E45" s="154">
        <v>44166</v>
      </c>
      <c r="F45" s="155">
        <v>44256</v>
      </c>
    </row>
    <row r="46" spans="1:6" ht="13.5" customHeight="1" x14ac:dyDescent="0.25">
      <c r="A46" s="156"/>
      <c r="B46" s="157"/>
      <c r="C46" s="158">
        <f>ROUND(F34*15%,0)</f>
        <v>11555</v>
      </c>
      <c r="D46" s="158">
        <f>ROUND(F34*45%,0)</f>
        <v>34666</v>
      </c>
      <c r="E46" s="158">
        <f>ROUND(F34*75%,0)</f>
        <v>57777</v>
      </c>
      <c r="F46" s="159">
        <f>ROUND(F34*100%,0)</f>
        <v>77036</v>
      </c>
    </row>
    <row r="47" spans="1:6" ht="15.75" thickBot="1" x14ac:dyDescent="0.3">
      <c r="A47" s="160" t="s">
        <v>67</v>
      </c>
      <c r="B47" s="161"/>
      <c r="C47" s="162">
        <f>MAX(0,C46-A42-B42-C42)</f>
        <v>0</v>
      </c>
      <c r="D47" s="162">
        <f>MAX(0,D46-A42-B42-C42-D42-E42-F42)</f>
        <v>0</v>
      </c>
      <c r="E47" s="162">
        <f>MAX(0,E46-A42-B42-C42-D42-E42-F42-A44-B44-C44)</f>
        <v>177</v>
      </c>
      <c r="F47" s="163">
        <f>MAX(0,F46-A42-B42-C42-D42-E42-F42-A44-B44-C44-D44-E44-F44)</f>
        <v>0</v>
      </c>
    </row>
    <row r="48" spans="1:6" ht="18.75" x14ac:dyDescent="0.3">
      <c r="A48" s="149" t="str">
        <f>IF((M31-F39)&lt;=0,"Income tax Payable","Income Tax Refundable")</f>
        <v>Income tax Payable</v>
      </c>
      <c r="B48" s="149"/>
      <c r="C48" s="149"/>
      <c r="D48" s="149"/>
      <c r="E48" s="150">
        <f>ABS(M32)</f>
        <v>0</v>
      </c>
      <c r="F48" s="151"/>
    </row>
    <row r="49" spans="1:6" ht="38.25" customHeight="1" x14ac:dyDescent="0.25">
      <c r="A49" s="40" t="s">
        <v>80</v>
      </c>
      <c r="B49" s="41"/>
      <c r="C49" s="41"/>
      <c r="D49" s="41"/>
      <c r="E49" s="41"/>
      <c r="F49" s="42"/>
    </row>
  </sheetData>
  <sheetProtection password="C751" sheet="1" objects="1" scenarios="1"/>
  <mergeCells count="48">
    <mergeCell ref="A11:E11"/>
    <mergeCell ref="A13:D13"/>
    <mergeCell ref="A16:E16"/>
    <mergeCell ref="A21:B21"/>
    <mergeCell ref="A10:C10"/>
    <mergeCell ref="A12:E12"/>
    <mergeCell ref="A15:E15"/>
    <mergeCell ref="A17:E17"/>
    <mergeCell ref="A32:E32"/>
    <mergeCell ref="A38:E38"/>
    <mergeCell ref="A26:D26"/>
    <mergeCell ref="A47:B47"/>
    <mergeCell ref="A40:F40"/>
    <mergeCell ref="A39:E39"/>
    <mergeCell ref="A45:B46"/>
    <mergeCell ref="A36:E36"/>
    <mergeCell ref="A35:E35"/>
    <mergeCell ref="A37:D37"/>
    <mergeCell ref="A28:E28"/>
    <mergeCell ref="A29:E29"/>
    <mergeCell ref="A1:F1"/>
    <mergeCell ref="A2:F2"/>
    <mergeCell ref="B3:D3"/>
    <mergeCell ref="B8:B9"/>
    <mergeCell ref="C8:C9"/>
    <mergeCell ref="D8:D9"/>
    <mergeCell ref="E8:E9"/>
    <mergeCell ref="F8:F9"/>
    <mergeCell ref="A5:B5"/>
    <mergeCell ref="D5:E5"/>
    <mergeCell ref="B4:C4"/>
    <mergeCell ref="D4:E4"/>
    <mergeCell ref="A49:F49"/>
    <mergeCell ref="A14:E14"/>
    <mergeCell ref="A18:E18"/>
    <mergeCell ref="A27:D27"/>
    <mergeCell ref="A23:D23"/>
    <mergeCell ref="A24:D24"/>
    <mergeCell ref="A25:D25"/>
    <mergeCell ref="A20:D20"/>
    <mergeCell ref="A22:D22"/>
    <mergeCell ref="A33:E33"/>
    <mergeCell ref="A48:D48"/>
    <mergeCell ref="E48:F48"/>
    <mergeCell ref="A19:D19"/>
    <mergeCell ref="A34:E34"/>
    <mergeCell ref="A30:E30"/>
    <mergeCell ref="A31:E31"/>
  </mergeCells>
  <dataValidations count="5">
    <dataValidation type="whole" operator="lessThanOrEqual" allowBlank="1" showInputMessage="1" showErrorMessage="1" error="MAX AMOUNT DEDUCTIBLE U/S TTA IS 40000 RS ONLY." sqref="E25:E26" xr:uid="{00000000-0002-0000-0100-000000000000}">
      <formula1>40000</formula1>
    </dataValidation>
    <dataValidation type="whole" operator="lessThanOrEqual" allowBlank="1" showInputMessage="1" showErrorMessage="1" error="DEDUCTION U/S 80 D CANT BE EXCEED THAN 25000" sqref="E23" xr:uid="{00000000-0002-0000-0100-000001000000}">
      <formula1>25000</formula1>
    </dataValidation>
    <dataValidation type="whole" operator="lessThanOrEqual" allowBlank="1" showInputMessage="1" showErrorMessage="1" error="DEUCTION U/S 24 CANT BE EXCEED THAN 200000" sqref="E22" xr:uid="{00000000-0002-0000-0100-000002000000}">
      <formula1>200000</formula1>
    </dataValidation>
    <dataValidation type="whole" operator="lessThanOrEqual" allowBlank="1" showInputMessage="1" showErrorMessage="1" error="DEDUCTION UNDER SECTION 80C,CCC AND CCD CANT BE EXCEED THAN 150000" sqref="E19" xr:uid="{00000000-0002-0000-0100-000003000000}">
      <formula1>150000</formula1>
    </dataValidation>
    <dataValidation type="list" allowBlank="1" showInputMessage="1" showErrorMessage="1" sqref="E13" xr:uid="{00000000-0002-0000-0100-000004000000}">
      <formula1>"BEFORE JULY,AFTER JULY,NOT APPLICABLE "</formula1>
    </dataValidation>
  </dataValidations>
  <hyperlinks>
    <hyperlink ref="A31" r:id="rId1" xr:uid="{00000000-0004-0000-0100-000000000000}"/>
  </hyperlinks>
  <pageMargins left="0.70866141732283472" right="0.11811023622047245" top="0.15748031496062992" bottom="0.15748031496062992" header="0" footer="0"/>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E3CB7-E4D6-459D-AC4A-FF87DAFC3A76}">
  <dimension ref="F8"/>
  <sheetViews>
    <sheetView workbookViewId="0">
      <selection activeCell="L21" sqref="L21"/>
    </sheetView>
  </sheetViews>
  <sheetFormatPr defaultRowHeight="15" x14ac:dyDescent="0.25"/>
  <cols>
    <col min="1" max="16384" width="9.140625" style="136"/>
  </cols>
  <sheetData>
    <row r="8" spans="6:6" ht="26.25" x14ac:dyDescent="0.4">
      <c r="F8" s="135" t="s">
        <v>84</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1"/>
  <sheetViews>
    <sheetView workbookViewId="0">
      <selection activeCell="B15" sqref="B15"/>
    </sheetView>
  </sheetViews>
  <sheetFormatPr defaultColWidth="31.7109375" defaultRowHeight="15" zeroHeight="1" x14ac:dyDescent="0.25"/>
  <cols>
    <col min="1" max="16384" width="31.7109375" style="85"/>
  </cols>
  <sheetData>
    <row r="1" spans="1:22" ht="52.15" customHeight="1" x14ac:dyDescent="0.25">
      <c r="A1" s="84"/>
      <c r="B1" s="84"/>
      <c r="C1" s="84"/>
      <c r="D1" s="84"/>
      <c r="E1" s="84"/>
      <c r="F1" s="84"/>
      <c r="I1" s="85">
        <f>Calculation!L12</f>
        <v>74682.074999999997</v>
      </c>
    </row>
    <row r="2" spans="1:22" ht="3.6" customHeight="1" x14ac:dyDescent="0.25">
      <c r="A2" s="84"/>
      <c r="F2" s="84"/>
    </row>
    <row r="3" spans="1:22" ht="22.9" customHeight="1" x14ac:dyDescent="0.25">
      <c r="A3" s="84"/>
      <c r="B3" s="86" t="s">
        <v>78</v>
      </c>
      <c r="C3" s="86"/>
      <c r="D3" s="86"/>
      <c r="E3" s="86"/>
      <c r="F3" s="84"/>
      <c r="G3" s="87" t="s">
        <v>0</v>
      </c>
    </row>
    <row r="4" spans="1:22" ht="41.45" customHeight="1" x14ac:dyDescent="0.25">
      <c r="A4" s="84"/>
      <c r="B4" s="88"/>
      <c r="C4" s="89"/>
      <c r="D4" s="89"/>
      <c r="E4" s="90" t="s">
        <v>2</v>
      </c>
      <c r="F4" s="84"/>
      <c r="G4" s="87" t="s">
        <v>1</v>
      </c>
    </row>
    <row r="5" spans="1:22" ht="3.6" customHeight="1" x14ac:dyDescent="0.25">
      <c r="A5" s="84"/>
      <c r="B5" s="91"/>
      <c r="C5" s="91"/>
      <c r="D5" s="91"/>
      <c r="E5" s="91"/>
      <c r="F5" s="84"/>
      <c r="G5" s="87" t="s">
        <v>2</v>
      </c>
    </row>
    <row r="6" spans="1:22" ht="15.75" x14ac:dyDescent="0.25">
      <c r="A6" s="92"/>
      <c r="B6" s="93" t="s">
        <v>3</v>
      </c>
      <c r="C6" s="94" t="s">
        <v>4</v>
      </c>
      <c r="D6" s="95"/>
      <c r="E6" s="96">
        <f>Master!F15</f>
        <v>997880.5</v>
      </c>
      <c r="F6" s="92"/>
      <c r="G6" s="87"/>
    </row>
    <row r="7" spans="1:22" ht="33" customHeight="1" x14ac:dyDescent="0.25">
      <c r="A7" s="92"/>
      <c r="B7" s="97" t="s">
        <v>5</v>
      </c>
      <c r="C7" s="98" t="s">
        <v>6</v>
      </c>
      <c r="D7" s="99"/>
      <c r="E7" s="100" t="s">
        <v>7</v>
      </c>
      <c r="F7" s="92"/>
      <c r="G7" s="87"/>
      <c r="I7" s="87" t="s">
        <v>8</v>
      </c>
      <c r="J7" s="87">
        <f>E27</f>
        <v>997880.5</v>
      </c>
      <c r="K7" s="87"/>
      <c r="L7" s="87"/>
      <c r="M7" s="87"/>
      <c r="O7" s="87"/>
      <c r="Q7" s="85" t="s">
        <v>9</v>
      </c>
      <c r="R7" s="85" t="s">
        <v>10</v>
      </c>
      <c r="S7" s="101" t="s">
        <v>11</v>
      </c>
      <c r="T7" s="85" t="s">
        <v>12</v>
      </c>
      <c r="U7" s="85" t="s">
        <v>10</v>
      </c>
      <c r="V7" s="101" t="s">
        <v>11</v>
      </c>
    </row>
    <row r="8" spans="1:22" ht="15.75" x14ac:dyDescent="0.25">
      <c r="A8" s="92"/>
      <c r="B8" s="102">
        <v>1</v>
      </c>
      <c r="C8" s="103"/>
      <c r="D8" s="104"/>
      <c r="E8" s="105"/>
      <c r="F8" s="92"/>
      <c r="G8" s="87"/>
      <c r="I8" s="87" t="s">
        <v>13</v>
      </c>
      <c r="J8" s="106">
        <f>E6-(E11+E17)</f>
        <v>997880.5</v>
      </c>
      <c r="K8" s="87"/>
      <c r="L8" s="87"/>
      <c r="M8" s="87"/>
      <c r="N8" s="87" t="s">
        <v>0</v>
      </c>
      <c r="O8" s="87"/>
      <c r="Q8" s="85">
        <f>J11</f>
        <v>109576.1</v>
      </c>
      <c r="R8" s="85">
        <f t="shared" ref="R8:R10" si="0">IF($J$7&gt;500000,0,Q8)</f>
        <v>0</v>
      </c>
      <c r="S8" s="101">
        <f t="shared" ref="S8:S10" si="1">Q8-R8</f>
        <v>109576.1</v>
      </c>
      <c r="T8" s="85">
        <f>J12</f>
        <v>74682.074999999997</v>
      </c>
      <c r="U8" s="85">
        <f t="shared" ref="U8:U10" si="2">IF($J$8&gt;500000,0,T8)</f>
        <v>0</v>
      </c>
      <c r="V8" s="101">
        <f t="shared" ref="V8:V10" si="3">T8-U8</f>
        <v>74682.074999999997</v>
      </c>
    </row>
    <row r="9" spans="1:22" ht="15.75" x14ac:dyDescent="0.25">
      <c r="A9" s="92"/>
      <c r="B9" s="102">
        <v>2</v>
      </c>
      <c r="C9" s="103"/>
      <c r="D9" s="104"/>
      <c r="E9" s="105"/>
      <c r="F9" s="92"/>
      <c r="G9" s="87"/>
      <c r="I9" s="107"/>
      <c r="J9" s="107"/>
      <c r="K9" s="107"/>
      <c r="L9" s="107"/>
      <c r="M9" s="87"/>
      <c r="N9" s="87" t="s">
        <v>1</v>
      </c>
      <c r="O9" s="87"/>
      <c r="Q9" s="85">
        <f>K11</f>
        <v>99576.1</v>
      </c>
      <c r="R9" s="85">
        <f t="shared" si="0"/>
        <v>0</v>
      </c>
      <c r="S9" s="101">
        <f t="shared" si="1"/>
        <v>99576.1</v>
      </c>
      <c r="T9" s="85">
        <f>K12</f>
        <v>74682.074999999997</v>
      </c>
      <c r="U9" s="85">
        <f t="shared" si="2"/>
        <v>0</v>
      </c>
      <c r="V9" s="101">
        <f t="shared" si="3"/>
        <v>74682.074999999997</v>
      </c>
    </row>
    <row r="10" spans="1:22" ht="15.75" x14ac:dyDescent="0.25">
      <c r="A10" s="92"/>
      <c r="B10" s="102">
        <v>3</v>
      </c>
      <c r="C10" s="103"/>
      <c r="D10" s="104"/>
      <c r="E10" s="105"/>
      <c r="F10" s="92"/>
      <c r="G10" s="87"/>
      <c r="I10" s="108"/>
      <c r="J10" s="109" t="s">
        <v>14</v>
      </c>
      <c r="K10" s="109" t="s">
        <v>15</v>
      </c>
      <c r="L10" s="109" t="s">
        <v>16</v>
      </c>
      <c r="M10" s="87"/>
      <c r="N10" s="87" t="s">
        <v>2</v>
      </c>
      <c r="O10" s="87"/>
      <c r="Q10" s="85">
        <f>L11</f>
        <v>112076.1</v>
      </c>
      <c r="R10" s="85">
        <f t="shared" si="0"/>
        <v>0</v>
      </c>
      <c r="S10" s="101">
        <f t="shared" si="1"/>
        <v>112076.1</v>
      </c>
      <c r="T10" s="85">
        <f>L12</f>
        <v>74682.074999999997</v>
      </c>
      <c r="U10" s="85">
        <f t="shared" si="2"/>
        <v>0</v>
      </c>
      <c r="V10" s="101">
        <f t="shared" si="3"/>
        <v>74682.074999999997</v>
      </c>
    </row>
    <row r="11" spans="1:22" ht="15.75" x14ac:dyDescent="0.25">
      <c r="A11" s="92"/>
      <c r="B11" s="102">
        <f t="shared" ref="B11:B26" si="4">B10+1</f>
        <v>4</v>
      </c>
      <c r="C11" s="103"/>
      <c r="D11" s="104"/>
      <c r="E11" s="105"/>
      <c r="F11" s="92"/>
      <c r="G11" s="87"/>
      <c r="I11" s="108" t="s">
        <v>17</v>
      </c>
      <c r="J11" s="108">
        <f>SUMPRODUCT(--(J7&gt;(J30:J32)), (J7-(J30:J32)), (L31:L33))</f>
        <v>109576.1</v>
      </c>
      <c r="K11" s="108">
        <f>SUMPRODUCT(--(J7&gt;(J38:J39)), (J7-(J38:J39)), (L39:L40))</f>
        <v>99576.1</v>
      </c>
      <c r="L11" s="108">
        <f>SUMPRODUCT(--(J7&gt;(J20:J22)), (J7-(J20:J22)), (L21:L23))</f>
        <v>112076.1</v>
      </c>
      <c r="M11" s="87"/>
      <c r="N11" s="87"/>
      <c r="O11" s="87"/>
    </row>
    <row r="12" spans="1:22" ht="15.75" x14ac:dyDescent="0.25">
      <c r="A12" s="92"/>
      <c r="B12" s="102">
        <f t="shared" si="4"/>
        <v>5</v>
      </c>
      <c r="C12" s="103"/>
      <c r="D12" s="104"/>
      <c r="E12" s="105"/>
      <c r="F12" s="92"/>
      <c r="G12" s="87"/>
      <c r="I12" s="108" t="s">
        <v>18</v>
      </c>
      <c r="J12" s="108">
        <f>SUMPRODUCT(--(J8&gt;(O20:O25)), (J8-(O20:O25)), (Q21:Q26))</f>
        <v>74682.074999999997</v>
      </c>
      <c r="K12" s="108">
        <f>SUMPRODUCT(--(J8&gt;(O20:O25)), (J8-(O20:O25)), (Q21:Q26))</f>
        <v>74682.074999999997</v>
      </c>
      <c r="L12" s="108">
        <f>SUMPRODUCT(--(J8&gt;(O20:O25)), (J8-(O20:O25)), (Q21:Q26))</f>
        <v>74682.074999999997</v>
      </c>
      <c r="M12" s="87"/>
      <c r="N12" s="110" t="s">
        <v>19</v>
      </c>
      <c r="O12" s="87"/>
      <c r="Q12" s="85" t="s">
        <v>9</v>
      </c>
      <c r="R12" s="85" t="s">
        <v>12</v>
      </c>
    </row>
    <row r="13" spans="1:22" ht="15.75" x14ac:dyDescent="0.25">
      <c r="A13" s="92"/>
      <c r="B13" s="102">
        <f t="shared" si="4"/>
        <v>6</v>
      </c>
      <c r="C13" s="103"/>
      <c r="D13" s="104"/>
      <c r="E13" s="105"/>
      <c r="F13" s="92"/>
      <c r="G13" s="87"/>
      <c r="I13" s="87"/>
      <c r="J13" s="87"/>
      <c r="K13" s="87"/>
      <c r="L13" s="87"/>
      <c r="M13" s="87"/>
      <c r="N13" s="87" t="str">
        <f>E4</f>
        <v>Other</v>
      </c>
      <c r="O13" s="87"/>
      <c r="Q13" s="85">
        <f>VLOOKUP(E4,N8:S10,6,0)</f>
        <v>112076.1</v>
      </c>
      <c r="R13" s="85">
        <f>VLOOKUP(E4,N8:V10,9,0)</f>
        <v>74682.074999999997</v>
      </c>
    </row>
    <row r="14" spans="1:22" ht="15.75" x14ac:dyDescent="0.25">
      <c r="A14" s="92"/>
      <c r="B14" s="102">
        <f t="shared" si="4"/>
        <v>7</v>
      </c>
      <c r="C14" s="103"/>
      <c r="D14" s="104"/>
      <c r="E14" s="105"/>
      <c r="F14" s="92"/>
      <c r="G14" s="87"/>
      <c r="I14" s="87"/>
      <c r="J14" s="87"/>
      <c r="K14" s="87"/>
      <c r="L14" s="87"/>
      <c r="M14" s="87"/>
      <c r="N14" s="87"/>
      <c r="O14" s="87"/>
    </row>
    <row r="15" spans="1:22" ht="15.75" x14ac:dyDescent="0.25">
      <c r="A15" s="92"/>
      <c r="B15" s="102">
        <f t="shared" si="4"/>
        <v>8</v>
      </c>
      <c r="C15" s="103"/>
      <c r="D15" s="104"/>
      <c r="E15" s="105"/>
      <c r="F15" s="92"/>
      <c r="G15" s="87"/>
      <c r="I15" s="87"/>
      <c r="J15" s="87"/>
      <c r="K15" s="87"/>
      <c r="L15" s="87"/>
      <c r="M15" s="87"/>
      <c r="N15" s="87"/>
      <c r="O15" s="87"/>
    </row>
    <row r="16" spans="1:22" ht="45.6" customHeight="1" x14ac:dyDescent="0.25">
      <c r="A16" s="92"/>
      <c r="B16" s="102">
        <f t="shared" si="4"/>
        <v>9</v>
      </c>
      <c r="C16" s="111"/>
      <c r="D16" s="111"/>
      <c r="E16" s="105"/>
      <c r="F16" s="92"/>
      <c r="G16" s="87"/>
      <c r="I16" s="87"/>
      <c r="J16" s="87"/>
      <c r="K16" s="87"/>
      <c r="L16" s="87"/>
      <c r="M16" s="87"/>
      <c r="N16" s="87"/>
      <c r="O16" s="87"/>
    </row>
    <row r="17" spans="1:17" ht="31.9" customHeight="1" x14ac:dyDescent="0.25">
      <c r="A17" s="92"/>
      <c r="B17" s="102">
        <f t="shared" si="4"/>
        <v>10</v>
      </c>
      <c r="C17" s="112"/>
      <c r="D17" s="113"/>
      <c r="E17" s="105"/>
      <c r="F17" s="92"/>
      <c r="G17" s="87"/>
      <c r="I17" s="87"/>
      <c r="J17" s="87"/>
      <c r="K17" s="87"/>
      <c r="L17" s="87"/>
      <c r="M17" s="87"/>
      <c r="N17" s="87"/>
      <c r="O17" s="87"/>
    </row>
    <row r="18" spans="1:17" ht="15.75" x14ac:dyDescent="0.25">
      <c r="A18" s="92"/>
      <c r="B18" s="102">
        <f t="shared" si="4"/>
        <v>11</v>
      </c>
      <c r="C18" s="103"/>
      <c r="D18" s="104"/>
      <c r="E18" s="105"/>
      <c r="F18" s="92"/>
      <c r="G18" s="87"/>
      <c r="I18" s="87" t="s">
        <v>20</v>
      </c>
      <c r="J18" s="87"/>
      <c r="K18" s="87"/>
      <c r="L18" s="87"/>
      <c r="M18" s="87"/>
      <c r="N18" s="87" t="s">
        <v>21</v>
      </c>
      <c r="O18" s="87"/>
    </row>
    <row r="19" spans="1:17" ht="15.75" x14ac:dyDescent="0.25">
      <c r="A19" s="92"/>
      <c r="B19" s="102">
        <f t="shared" si="4"/>
        <v>12</v>
      </c>
      <c r="C19" s="103"/>
      <c r="D19" s="104"/>
      <c r="E19" s="105"/>
      <c r="F19" s="92"/>
      <c r="G19" s="87"/>
      <c r="I19" s="114" t="s">
        <v>22</v>
      </c>
      <c r="J19" s="114" t="s">
        <v>23</v>
      </c>
      <c r="K19" s="114" t="s">
        <v>24</v>
      </c>
      <c r="L19" s="114" t="s">
        <v>25</v>
      </c>
      <c r="M19" s="87"/>
      <c r="N19" s="114" t="s">
        <v>22</v>
      </c>
      <c r="O19" s="114" t="s">
        <v>23</v>
      </c>
      <c r="P19" s="114" t="s">
        <v>24</v>
      </c>
      <c r="Q19" s="114" t="s">
        <v>25</v>
      </c>
    </row>
    <row r="20" spans="1:17" ht="15.75" x14ac:dyDescent="0.25">
      <c r="A20" s="92"/>
      <c r="B20" s="102">
        <f t="shared" si="4"/>
        <v>13</v>
      </c>
      <c r="C20" s="103"/>
      <c r="D20" s="104"/>
      <c r="E20" s="105"/>
      <c r="F20" s="92"/>
      <c r="G20" s="87"/>
      <c r="I20" s="115">
        <v>0</v>
      </c>
      <c r="J20" s="115">
        <v>250000</v>
      </c>
      <c r="K20" s="116">
        <v>0</v>
      </c>
      <c r="L20" s="116"/>
      <c r="M20" s="87"/>
      <c r="N20" s="115">
        <v>0</v>
      </c>
      <c r="O20" s="115">
        <v>250000</v>
      </c>
      <c r="P20" s="116">
        <v>0</v>
      </c>
      <c r="Q20" s="116"/>
    </row>
    <row r="21" spans="1:17" ht="15.75" x14ac:dyDescent="0.25">
      <c r="A21" s="92"/>
      <c r="B21" s="102">
        <f t="shared" si="4"/>
        <v>14</v>
      </c>
      <c r="C21" s="103"/>
      <c r="D21" s="104"/>
      <c r="E21" s="105"/>
      <c r="F21" s="92"/>
      <c r="G21" s="87"/>
      <c r="I21" s="115">
        <v>250001</v>
      </c>
      <c r="J21" s="115">
        <v>500000</v>
      </c>
      <c r="K21" s="116">
        <v>0.05</v>
      </c>
      <c r="L21" s="116">
        <f t="shared" ref="L21:L23" si="5">K21-K20</f>
        <v>0.05</v>
      </c>
      <c r="M21" s="87"/>
      <c r="N21" s="115">
        <v>250001</v>
      </c>
      <c r="O21" s="115">
        <v>500000</v>
      </c>
      <c r="P21" s="116">
        <v>0.05</v>
      </c>
      <c r="Q21" s="116">
        <f t="shared" ref="Q21:Q26" si="6">P21-P20</f>
        <v>0.05</v>
      </c>
    </row>
    <row r="22" spans="1:17" ht="15.75" x14ac:dyDescent="0.25">
      <c r="A22" s="92"/>
      <c r="B22" s="102">
        <f t="shared" si="4"/>
        <v>15</v>
      </c>
      <c r="C22" s="103"/>
      <c r="D22" s="104"/>
      <c r="E22" s="105"/>
      <c r="F22" s="92"/>
      <c r="G22" s="87"/>
      <c r="I22" s="115">
        <v>500001</v>
      </c>
      <c r="J22" s="115">
        <v>1000000</v>
      </c>
      <c r="K22" s="116">
        <v>0.2</v>
      </c>
      <c r="L22" s="116">
        <f t="shared" si="5"/>
        <v>0.15000000000000002</v>
      </c>
      <c r="M22" s="87"/>
      <c r="N22" s="115">
        <v>500001</v>
      </c>
      <c r="O22" s="115">
        <v>750000</v>
      </c>
      <c r="P22" s="116">
        <v>0.1</v>
      </c>
      <c r="Q22" s="116">
        <f t="shared" si="6"/>
        <v>0.05</v>
      </c>
    </row>
    <row r="23" spans="1:17" ht="15.75" x14ac:dyDescent="0.25">
      <c r="A23" s="92"/>
      <c r="B23" s="102">
        <f t="shared" si="4"/>
        <v>16</v>
      </c>
      <c r="C23" s="103"/>
      <c r="D23" s="104"/>
      <c r="E23" s="105"/>
      <c r="F23" s="92"/>
      <c r="G23" s="87"/>
      <c r="I23" s="117" t="s">
        <v>26</v>
      </c>
      <c r="J23" s="117"/>
      <c r="K23" s="118">
        <v>0.30000000000000004</v>
      </c>
      <c r="L23" s="118">
        <f t="shared" si="5"/>
        <v>0.10000000000000003</v>
      </c>
      <c r="M23" s="87"/>
      <c r="N23" s="115">
        <v>750001</v>
      </c>
      <c r="O23" s="115">
        <v>1000000</v>
      </c>
      <c r="P23" s="116">
        <v>0.15</v>
      </c>
      <c r="Q23" s="116">
        <f t="shared" si="6"/>
        <v>4.9999999999999989E-2</v>
      </c>
    </row>
    <row r="24" spans="1:17" ht="15.75" x14ac:dyDescent="0.25">
      <c r="A24" s="92"/>
      <c r="B24" s="102">
        <f t="shared" si="4"/>
        <v>17</v>
      </c>
      <c r="C24" s="103"/>
      <c r="D24" s="104"/>
      <c r="E24" s="105"/>
      <c r="F24" s="92"/>
      <c r="G24" s="87"/>
      <c r="I24" s="119"/>
      <c r="J24" s="119"/>
      <c r="K24" s="119"/>
      <c r="L24" s="119"/>
      <c r="M24" s="87"/>
      <c r="N24" s="115">
        <v>1000001</v>
      </c>
      <c r="O24" s="115">
        <v>1250000</v>
      </c>
      <c r="P24" s="116">
        <v>0.2</v>
      </c>
      <c r="Q24" s="116">
        <f t="shared" si="6"/>
        <v>5.0000000000000017E-2</v>
      </c>
    </row>
    <row r="25" spans="1:17" ht="15.75" x14ac:dyDescent="0.25">
      <c r="A25" s="92"/>
      <c r="B25" s="102">
        <f t="shared" si="4"/>
        <v>18</v>
      </c>
      <c r="C25" s="103"/>
      <c r="D25" s="104"/>
      <c r="E25" s="105"/>
      <c r="F25" s="92"/>
      <c r="G25" s="87"/>
      <c r="I25" s="119"/>
      <c r="J25" s="119"/>
      <c r="K25" s="119"/>
      <c r="L25" s="119"/>
      <c r="M25" s="87"/>
      <c r="N25" s="115">
        <v>1250001</v>
      </c>
      <c r="O25" s="115">
        <v>1500000</v>
      </c>
      <c r="P25" s="116">
        <v>0.25</v>
      </c>
      <c r="Q25" s="116">
        <f t="shared" si="6"/>
        <v>4.9999999999999989E-2</v>
      </c>
    </row>
    <row r="26" spans="1:17" ht="15.75" x14ac:dyDescent="0.25">
      <c r="A26" s="92"/>
      <c r="B26" s="120">
        <f t="shared" si="4"/>
        <v>19</v>
      </c>
      <c r="C26" s="121"/>
      <c r="D26" s="122"/>
      <c r="E26" s="123"/>
      <c r="F26" s="92"/>
      <c r="G26" s="87"/>
      <c r="I26" s="124" t="s">
        <v>27</v>
      </c>
      <c r="J26" s="119"/>
      <c r="K26" s="119"/>
      <c r="L26" s="119"/>
      <c r="M26" s="87"/>
      <c r="N26" s="115" t="s">
        <v>28</v>
      </c>
      <c r="O26" s="115"/>
      <c r="P26" s="116">
        <v>0.30000000000000004</v>
      </c>
      <c r="Q26" s="116">
        <f t="shared" si="6"/>
        <v>5.0000000000000044E-2</v>
      </c>
    </row>
    <row r="27" spans="1:17" ht="15.75" x14ac:dyDescent="0.25">
      <c r="A27" s="92"/>
      <c r="B27" s="125" t="s">
        <v>29</v>
      </c>
      <c r="C27" s="126" t="s">
        <v>30</v>
      </c>
      <c r="D27" s="95"/>
      <c r="E27" s="127">
        <f>E6-SUM(E8:E26)</f>
        <v>997880.5</v>
      </c>
      <c r="F27" s="92"/>
      <c r="G27" s="87"/>
      <c r="I27" s="114" t="s">
        <v>22</v>
      </c>
      <c r="J27" s="114" t="s">
        <v>23</v>
      </c>
      <c r="K27" s="114" t="s">
        <v>24</v>
      </c>
      <c r="L27" s="114" t="s">
        <v>25</v>
      </c>
      <c r="M27" s="87"/>
      <c r="N27" s="87"/>
      <c r="O27" s="87"/>
    </row>
    <row r="28" spans="1:17" ht="10.15" customHeight="1" x14ac:dyDescent="0.25">
      <c r="A28" s="92"/>
      <c r="B28" s="128"/>
      <c r="C28" s="129"/>
      <c r="D28" s="130"/>
      <c r="E28" s="131"/>
      <c r="F28" s="92"/>
      <c r="G28" s="87"/>
      <c r="I28" s="115"/>
      <c r="J28" s="115"/>
      <c r="K28" s="115"/>
      <c r="L28" s="115"/>
      <c r="M28" s="87"/>
      <c r="N28" s="87"/>
      <c r="O28" s="87"/>
    </row>
    <row r="29" spans="1:17" ht="15.75" x14ac:dyDescent="0.25">
      <c r="A29" s="92"/>
      <c r="B29" s="128"/>
      <c r="C29" s="129" t="s">
        <v>31</v>
      </c>
      <c r="D29" s="130"/>
      <c r="E29" s="37">
        <f>Q13</f>
        <v>112076.1</v>
      </c>
      <c r="F29" s="92"/>
      <c r="G29" s="87"/>
      <c r="I29" s="115"/>
      <c r="J29" s="115"/>
      <c r="K29" s="115"/>
      <c r="L29" s="115"/>
      <c r="M29" s="87"/>
      <c r="N29" s="87"/>
      <c r="O29" s="87"/>
    </row>
    <row r="30" spans="1:17" ht="16.5" customHeight="1" x14ac:dyDescent="0.25">
      <c r="A30" s="84"/>
      <c r="C30" s="129" t="s">
        <v>32</v>
      </c>
      <c r="E30" s="37">
        <f>R13</f>
        <v>74682.074999999997</v>
      </c>
      <c r="F30" s="84"/>
      <c r="I30" s="115">
        <v>0</v>
      </c>
      <c r="J30" s="115">
        <v>300000</v>
      </c>
      <c r="K30" s="116">
        <v>0</v>
      </c>
      <c r="L30" s="116"/>
    </row>
    <row r="31" spans="1:17" ht="106.15" customHeight="1" x14ac:dyDescent="0.25">
      <c r="A31" s="84"/>
      <c r="B31" s="132" t="s">
        <v>33</v>
      </c>
      <c r="C31" s="132"/>
      <c r="D31" s="132"/>
      <c r="E31" s="132"/>
      <c r="F31" s="133"/>
      <c r="G31" s="134"/>
      <c r="I31" s="115">
        <v>300001</v>
      </c>
      <c r="J31" s="115">
        <v>500000</v>
      </c>
      <c r="K31" s="116">
        <v>0.05</v>
      </c>
      <c r="L31" s="116">
        <f t="shared" ref="L31:L33" si="7">K31-K30</f>
        <v>0.05</v>
      </c>
    </row>
    <row r="32" spans="1:17" x14ac:dyDescent="0.25">
      <c r="A32" s="84"/>
      <c r="F32" s="84"/>
      <c r="I32" s="115">
        <v>500001</v>
      </c>
      <c r="J32" s="115">
        <v>1000000</v>
      </c>
      <c r="K32" s="116">
        <v>0.2</v>
      </c>
      <c r="L32" s="116">
        <f t="shared" si="7"/>
        <v>0.15000000000000002</v>
      </c>
    </row>
    <row r="33" spans="1:12" x14ac:dyDescent="0.25">
      <c r="A33" s="84"/>
      <c r="B33" s="84"/>
      <c r="C33" s="84"/>
      <c r="D33" s="84"/>
      <c r="E33" s="84"/>
      <c r="F33" s="84"/>
      <c r="I33" s="117" t="s">
        <v>26</v>
      </c>
      <c r="J33" s="117"/>
      <c r="K33" s="118">
        <v>0.30000000000000004</v>
      </c>
      <c r="L33" s="118">
        <f t="shared" si="7"/>
        <v>0.10000000000000003</v>
      </c>
    </row>
    <row r="34" spans="1:12" hidden="1" x14ac:dyDescent="0.25">
      <c r="I34" s="119"/>
      <c r="J34" s="119"/>
      <c r="K34" s="119"/>
      <c r="L34" s="119"/>
    </row>
    <row r="35" spans="1:12" hidden="1" x14ac:dyDescent="0.25">
      <c r="I35" s="119"/>
      <c r="J35" s="119"/>
      <c r="K35" s="119"/>
      <c r="L35" s="119"/>
    </row>
    <row r="36" spans="1:12" hidden="1" x14ac:dyDescent="0.25">
      <c r="I36" s="124" t="s">
        <v>27</v>
      </c>
      <c r="J36" s="119"/>
      <c r="K36" s="119"/>
      <c r="L36" s="119"/>
    </row>
    <row r="37" spans="1:12" hidden="1" x14ac:dyDescent="0.25">
      <c r="I37" s="114" t="s">
        <v>22</v>
      </c>
      <c r="J37" s="114" t="s">
        <v>23</v>
      </c>
      <c r="K37" s="114" t="s">
        <v>24</v>
      </c>
      <c r="L37" s="114" t="s">
        <v>25</v>
      </c>
    </row>
    <row r="38" spans="1:12" hidden="1" x14ac:dyDescent="0.25">
      <c r="I38" s="115">
        <v>0</v>
      </c>
      <c r="J38" s="115">
        <v>500000</v>
      </c>
      <c r="K38" s="116">
        <v>0</v>
      </c>
      <c r="L38" s="116"/>
    </row>
    <row r="39" spans="1:12" hidden="1" x14ac:dyDescent="0.25">
      <c r="I39" s="115">
        <v>500001</v>
      </c>
      <c r="J39" s="115">
        <v>1000000</v>
      </c>
      <c r="K39" s="116">
        <v>0.2</v>
      </c>
      <c r="L39" s="116">
        <f t="shared" ref="L39:L40" si="8">K39-K38</f>
        <v>0.2</v>
      </c>
    </row>
    <row r="40" spans="1:12" hidden="1" x14ac:dyDescent="0.25">
      <c r="I40" s="117" t="s">
        <v>26</v>
      </c>
      <c r="J40" s="117"/>
      <c r="K40" s="118">
        <v>0.30000000000000004</v>
      </c>
      <c r="L40" s="118">
        <f t="shared" si="8"/>
        <v>0.10000000000000003</v>
      </c>
    </row>
    <row r="51" x14ac:dyDescent="0.25"/>
  </sheetData>
  <sheetProtection password="C751" sheet="1" objects="1" scenarios="1"/>
  <mergeCells count="5">
    <mergeCell ref="B3:E3"/>
    <mergeCell ref="C4:D4"/>
    <mergeCell ref="B5:E5"/>
    <mergeCell ref="C16:D16"/>
    <mergeCell ref="B31:E31"/>
  </mergeCells>
  <dataValidations count="1">
    <dataValidation type="list" allowBlank="1" showInputMessage="1" showErrorMessage="1" sqref="E4" xr:uid="{00000000-0002-0000-0200-000000000000}">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Master</vt:lpstr>
      <vt:lpstr>Instructions</vt:lpstr>
      <vt:lpstr>Calculation</vt:lpstr>
      <vt:lpstr>category</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My PC</cp:lastModifiedBy>
  <cp:revision>0</cp:revision>
  <cp:lastPrinted>2020-05-09T10:21:35Z</cp:lastPrinted>
  <dcterms:created xsi:type="dcterms:W3CDTF">2020-02-02T04:09:35Z</dcterms:created>
  <dcterms:modified xsi:type="dcterms:W3CDTF">2020-05-09T10:22:11Z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